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VALERIA\Downloads\"/>
    </mc:Choice>
  </mc:AlternateContent>
  <xr:revisionPtr revIDLastSave="0" documentId="13_ncr:1_{3AC6AF3A-D335-4CD8-A8CF-E4EFA21A5DA1}" xr6:coauthVersionLast="47" xr6:coauthVersionMax="47" xr10:uidLastSave="{00000000-0000-0000-0000-000000000000}"/>
  <bookViews>
    <workbookView xWindow="-120" yWindow="-120" windowWidth="20730" windowHeight="11040" firstSheet="15" activeTab="16" xr2:uid="{65BED60E-C85B-4208-AF34-2794C039A4E5}"/>
  </bookViews>
  <sheets>
    <sheet name="TABLERO DE CONTROL " sheetId="23" r:id="rId1"/>
    <sheet name="ENCUESTAS " sheetId="7" r:id="rId2"/>
    <sheet name="COSTOS ABC PANADERÍA " sheetId="1" r:id="rId3"/>
    <sheet name="DISTRIBUCIÓN MATERIA PRIMA" sheetId="10" r:id="rId4"/>
    <sheet name="MATERIA PRIMA" sheetId="9" r:id="rId5"/>
    <sheet name="MAQUINARIA " sheetId="8" r:id="rId6"/>
    <sheet name="BALANCE DE COMPROBACIÓN" sheetId="2" r:id="rId7"/>
    <sheet name="CONTABILIZACIÓN" sheetId="3" r:id="rId8"/>
    <sheet name="INGRESOS " sheetId="4" r:id="rId9"/>
    <sheet name="DEPRECIACIÓN" sheetId="6" r:id="rId10"/>
    <sheet name="GASTOS" sheetId="11" r:id="rId11"/>
    <sheet name="COSTOS" sheetId="12" r:id="rId12"/>
    <sheet name="PUNTO DE EQUILIBRIO" sheetId="22" r:id="rId13"/>
    <sheet name="COSTOS DE PRODUCCIÓN" sheetId="5" r:id="rId14"/>
    <sheet name="GASTO ADMINISTRATIVO" sheetId="14" r:id="rId15"/>
    <sheet name="GASTO DE VENTA" sheetId="15" r:id="rId16"/>
    <sheet name="ESTADO DE COSTOS" sheetId="16" r:id="rId17"/>
    <sheet name="ESTADO DE RESULTADOS" sheetId="17" r:id="rId18"/>
    <sheet name="BALANCE GRAL" sheetId="19" r:id="rId19"/>
  </sheets>
  <definedNames>
    <definedName name="Cost_per_Ounce">#REF!</definedName>
    <definedName name="Gross_or_Not">#REF!</definedName>
    <definedName name="Help">#REF!</definedName>
    <definedName name="Tax_Rat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" i="22" l="1"/>
  <c r="L2" i="22"/>
  <c r="K2" i="22"/>
  <c r="J2" i="22"/>
  <c r="I2" i="22"/>
  <c r="H2" i="22"/>
  <c r="G2" i="22"/>
  <c r="F2" i="22"/>
  <c r="O36" i="22"/>
  <c r="N36" i="22"/>
  <c r="P36" i="22" s="1"/>
  <c r="M38" i="22"/>
  <c r="Q31" i="22"/>
  <c r="O30" i="22"/>
  <c r="Q30" i="22" s="1"/>
  <c r="Q32" i="22" s="1"/>
  <c r="N31" i="22"/>
  <c r="N30" i="22"/>
  <c r="N19" i="22"/>
  <c r="Q14" i="22"/>
  <c r="N13" i="22"/>
  <c r="E31" i="22"/>
  <c r="B30" i="22"/>
  <c r="E14" i="22"/>
  <c r="B13" i="22"/>
  <c r="L5" i="22"/>
  <c r="K5" i="22"/>
  <c r="I5" i="22"/>
  <c r="J5" i="22"/>
  <c r="H5" i="22"/>
  <c r="G5" i="22"/>
  <c r="G4" i="22"/>
  <c r="H4" i="22" s="1"/>
  <c r="I4" i="22" s="1"/>
  <c r="J4" i="22" s="1"/>
  <c r="G3" i="22"/>
  <c r="H3" i="22" s="1"/>
  <c r="I3" i="22" s="1"/>
  <c r="J3" i="22" s="1"/>
  <c r="F3" i="22"/>
  <c r="F4" i="22"/>
  <c r="F5" i="22"/>
  <c r="G20" i="17"/>
  <c r="J19" i="16"/>
  <c r="E16" i="16"/>
  <c r="J16" i="16"/>
  <c r="N13" i="16"/>
  <c r="D20" i="2"/>
  <c r="O19" i="22" l="1"/>
  <c r="K4" i="22"/>
  <c r="L4" i="22" s="1"/>
  <c r="N14" i="22" s="1"/>
  <c r="O13" i="22" s="1"/>
  <c r="P19" i="22"/>
  <c r="K3" i="22"/>
  <c r="L3" i="22" s="1"/>
  <c r="C36" i="22"/>
  <c r="C19" i="22"/>
  <c r="N38" i="22"/>
  <c r="Q28" i="22"/>
  <c r="O38" i="22"/>
  <c r="P38" i="22" s="1"/>
  <c r="M37" i="22"/>
  <c r="M39" i="22"/>
  <c r="Q13" i="22" l="1"/>
  <c r="Q15" i="22" s="1"/>
  <c r="M21" i="22"/>
  <c r="Q11" i="22"/>
  <c r="B36" i="22"/>
  <c r="D36" i="22" s="1"/>
  <c r="B31" i="22"/>
  <c r="C30" i="22" s="1"/>
  <c r="B19" i="22"/>
  <c r="D19" i="22" s="1"/>
  <c r="B14" i="22"/>
  <c r="C13" i="22" s="1"/>
  <c r="N39" i="22"/>
  <c r="P39" i="22" s="1"/>
  <c r="O39" i="22"/>
  <c r="M40" i="22"/>
  <c r="O37" i="22"/>
  <c r="P37" i="22" s="1"/>
  <c r="N37" i="22"/>
  <c r="N21" i="22" l="1"/>
  <c r="M20" i="22"/>
  <c r="O21" i="22"/>
  <c r="P21" i="22" s="1"/>
  <c r="E30" i="22"/>
  <c r="E32" i="22" s="1"/>
  <c r="E28" i="22"/>
  <c r="A38" i="22"/>
  <c r="E13" i="22"/>
  <c r="E15" i="22" s="1"/>
  <c r="A21" i="22"/>
  <c r="O40" i="22"/>
  <c r="N40" i="22"/>
  <c r="I42" i="19"/>
  <c r="I14" i="19"/>
  <c r="I15" i="19"/>
  <c r="I12" i="19"/>
  <c r="I11" i="19"/>
  <c r="E13" i="19"/>
  <c r="E11" i="19"/>
  <c r="E14" i="19"/>
  <c r="E42" i="19"/>
  <c r="K21" i="14"/>
  <c r="M22" i="22" l="1"/>
  <c r="M23" i="22"/>
  <c r="N20" i="22"/>
  <c r="O20" i="22"/>
  <c r="A37" i="22"/>
  <c r="C38" i="22"/>
  <c r="D38" i="22" s="1"/>
  <c r="B38" i="22"/>
  <c r="C21" i="22"/>
  <c r="B21" i="22"/>
  <c r="D21" i="22" s="1"/>
  <c r="A20" i="22"/>
  <c r="P40" i="22"/>
  <c r="I30" i="19"/>
  <c r="I29" i="19" s="1"/>
  <c r="I28" i="19" s="1"/>
  <c r="L43" i="19" s="1"/>
  <c r="P20" i="22" l="1"/>
  <c r="N23" i="22"/>
  <c r="O23" i="22"/>
  <c r="N22" i="22"/>
  <c r="P22" i="22" s="1"/>
  <c r="O22" i="22"/>
  <c r="A40" i="22"/>
  <c r="A39" i="22"/>
  <c r="C37" i="22"/>
  <c r="B37" i="22"/>
  <c r="D37" i="22" s="1"/>
  <c r="C20" i="22"/>
  <c r="A23" i="22"/>
  <c r="B20" i="22"/>
  <c r="D20" i="22" s="1"/>
  <c r="A22" i="22"/>
  <c r="P23" i="22" l="1"/>
  <c r="C39" i="22"/>
  <c r="B39" i="22"/>
  <c r="C40" i="22"/>
  <c r="B40" i="22"/>
  <c r="D40" i="22" s="1"/>
  <c r="C22" i="22"/>
  <c r="B22" i="22"/>
  <c r="D22" i="22" s="1"/>
  <c r="B23" i="22"/>
  <c r="C23" i="22"/>
  <c r="E26" i="12"/>
  <c r="E219" i="3"/>
  <c r="M17" i="17"/>
  <c r="L17" i="17"/>
  <c r="K17" i="17"/>
  <c r="J17" i="17"/>
  <c r="M20" i="17"/>
  <c r="L20" i="17"/>
  <c r="K20" i="17"/>
  <c r="J20" i="17"/>
  <c r="J322" i="1"/>
  <c r="C332" i="1"/>
  <c r="C331" i="1"/>
  <c r="D39" i="22" l="1"/>
  <c r="D23" i="22"/>
  <c r="G17" i="17"/>
  <c r="G28" i="17" s="1"/>
  <c r="E24" i="12"/>
  <c r="E23" i="12"/>
  <c r="E22" i="12"/>
  <c r="C23" i="12"/>
  <c r="C22" i="12"/>
  <c r="C18" i="12"/>
  <c r="C17" i="12"/>
  <c r="C16" i="12"/>
  <c r="C15" i="12"/>
  <c r="C14" i="12"/>
  <c r="C13" i="12"/>
  <c r="C12" i="12"/>
  <c r="C11" i="12"/>
  <c r="C10" i="12"/>
  <c r="E6" i="12"/>
  <c r="E5" i="12"/>
  <c r="E4" i="12"/>
  <c r="E3" i="12"/>
  <c r="D16" i="11"/>
  <c r="D11" i="11"/>
  <c r="D10" i="11"/>
  <c r="I25" i="2"/>
  <c r="D29" i="2"/>
  <c r="F152" i="3"/>
  <c r="C43" i="2"/>
  <c r="E43" i="2" s="1"/>
  <c r="G43" i="2" s="1"/>
  <c r="I43" i="2" s="1"/>
  <c r="C44" i="2"/>
  <c r="G20" i="16"/>
  <c r="M19" i="16"/>
  <c r="L19" i="16"/>
  <c r="K19" i="16"/>
  <c r="E71" i="2"/>
  <c r="G71" i="2"/>
  <c r="I71" i="2"/>
  <c r="C70" i="2"/>
  <c r="E70" i="2" s="1"/>
  <c r="H24" i="1"/>
  <c r="J24" i="1"/>
  <c r="K16" i="16"/>
  <c r="L16" i="16"/>
  <c r="M16" i="16"/>
  <c r="P18" i="17" l="1"/>
  <c r="E7" i="12"/>
  <c r="D2" i="12" s="1"/>
  <c r="G70" i="2"/>
  <c r="I70" i="2" l="1"/>
  <c r="K260" i="1" l="1"/>
  <c r="D147" i="3" s="1"/>
  <c r="G260" i="1"/>
  <c r="D136" i="3" s="1"/>
  <c r="E260" i="1"/>
  <c r="D131" i="3" s="1"/>
  <c r="C60" i="2"/>
  <c r="M13" i="16" s="1"/>
  <c r="M25" i="16" s="1"/>
  <c r="M31" i="16" s="1"/>
  <c r="C59" i="2"/>
  <c r="L13" i="16" s="1"/>
  <c r="C58" i="2"/>
  <c r="K13" i="16" s="1"/>
  <c r="C57" i="2"/>
  <c r="J13" i="16" s="1"/>
  <c r="J25" i="16" s="1"/>
  <c r="C19" i="2"/>
  <c r="E19" i="2" s="1"/>
  <c r="G19" i="2" s="1"/>
  <c r="I19" i="2" s="1"/>
  <c r="C18" i="2"/>
  <c r="E18" i="2" s="1"/>
  <c r="G18" i="2" s="1"/>
  <c r="I18" i="2" s="1"/>
  <c r="C17" i="2"/>
  <c r="E17" i="2" s="1"/>
  <c r="G17" i="2" s="1"/>
  <c r="I17" i="2" s="1"/>
  <c r="C13" i="2"/>
  <c r="E13" i="2" s="1"/>
  <c r="G13" i="2" s="1"/>
  <c r="I13" i="2" s="1"/>
  <c r="W155" i="9"/>
  <c r="E58" i="2" l="1"/>
  <c r="G58" i="2" s="1"/>
  <c r="I58" i="2" s="1"/>
  <c r="E59" i="2"/>
  <c r="G59" i="2" s="1"/>
  <c r="I59" i="2" s="1"/>
  <c r="E60" i="2"/>
  <c r="G60" i="2" s="1"/>
  <c r="I60" i="2" s="1"/>
  <c r="M8" i="16"/>
  <c r="G14" i="16"/>
  <c r="G23" i="16" s="1"/>
  <c r="J31" i="16"/>
  <c r="K25" i="16"/>
  <c r="K31" i="16" s="1"/>
  <c r="L25" i="16"/>
  <c r="L31" i="16" s="1"/>
  <c r="E57" i="2"/>
  <c r="G57" i="2" s="1"/>
  <c r="I57" i="2" s="1"/>
  <c r="K264" i="1"/>
  <c r="E77" i="1"/>
  <c r="W170" i="9"/>
  <c r="N25" i="16" l="1"/>
  <c r="J8" i="16"/>
  <c r="K8" i="16"/>
  <c r="L8" i="16"/>
  <c r="E13" i="16"/>
  <c r="G25" i="16"/>
  <c r="G27" i="16" s="1"/>
  <c r="G29" i="16" s="1"/>
  <c r="G31" i="16" s="1"/>
  <c r="G15" i="17" s="1"/>
  <c r="N15" i="17" s="1"/>
  <c r="L11" i="4"/>
  <c r="C11" i="9"/>
  <c r="F11" i="9" s="1"/>
  <c r="C10" i="9"/>
  <c r="F10" i="9" s="1"/>
  <c r="C53" i="2"/>
  <c r="D201" i="3"/>
  <c r="D206" i="3"/>
  <c r="D200" i="3"/>
  <c r="D180" i="3"/>
  <c r="D179" i="3"/>
  <c r="D199" i="3"/>
  <c r="C61" i="2" s="1"/>
  <c r="E10" i="12" s="1"/>
  <c r="F18" i="15"/>
  <c r="E19" i="15"/>
  <c r="G18" i="15"/>
  <c r="G19" i="15" s="1"/>
  <c r="G9" i="15"/>
  <c r="B13" i="15" s="1"/>
  <c r="H21" i="5"/>
  <c r="G21" i="5"/>
  <c r="E14" i="14"/>
  <c r="F22" i="14"/>
  <c r="E22" i="14"/>
  <c r="I21" i="14"/>
  <c r="I22" i="14" s="1"/>
  <c r="H21" i="14"/>
  <c r="H22" i="14" s="1"/>
  <c r="G21" i="14"/>
  <c r="G22" i="14" s="1"/>
  <c r="G9" i="14"/>
  <c r="L15" i="17" l="1"/>
  <c r="K15" i="17"/>
  <c r="J15" i="17"/>
  <c r="M15" i="17"/>
  <c r="C62" i="2"/>
  <c r="E62" i="2" s="1"/>
  <c r="G62" i="2" s="1"/>
  <c r="I62" i="2" s="1"/>
  <c r="E11" i="12"/>
  <c r="E61" i="2"/>
  <c r="G61" i="2" s="1"/>
  <c r="I61" i="2" s="1"/>
  <c r="N8" i="16"/>
  <c r="E53" i="2"/>
  <c r="F19" i="15"/>
  <c r="C13" i="15"/>
  <c r="D13" i="15"/>
  <c r="E13" i="15" s="1"/>
  <c r="E14" i="15" s="1"/>
  <c r="J21" i="14"/>
  <c r="J22" i="14" s="1"/>
  <c r="K22" i="14"/>
  <c r="B13" i="14"/>
  <c r="G53" i="2" l="1"/>
  <c r="C13" i="14"/>
  <c r="D13" i="14"/>
  <c r="E13" i="14" s="1"/>
  <c r="G127" i="3" l="1"/>
  <c r="D128" i="3"/>
  <c r="E127" i="3"/>
  <c r="E128" i="3" s="1"/>
  <c r="G122" i="3"/>
  <c r="E122" i="3"/>
  <c r="E123" i="3" s="1"/>
  <c r="D123" i="3"/>
  <c r="F331" i="1" l="1"/>
  <c r="F322" i="1" s="1"/>
  <c r="J25" i="1"/>
  <c r="J23" i="1"/>
  <c r="E44" i="2"/>
  <c r="F29" i="2"/>
  <c r="D207" i="3"/>
  <c r="C69" i="2" s="1"/>
  <c r="E198" i="3"/>
  <c r="D203" i="3" s="1"/>
  <c r="E197" i="3"/>
  <c r="D204" i="3" s="1"/>
  <c r="C66" i="2" s="1"/>
  <c r="E196" i="3"/>
  <c r="D202" i="3" s="1"/>
  <c r="E195" i="3"/>
  <c r="E194" i="3"/>
  <c r="D205" i="3" s="1"/>
  <c r="E193" i="3"/>
  <c r="D181" i="3"/>
  <c r="E178" i="3"/>
  <c r="D183" i="3" s="1"/>
  <c r="E177" i="3"/>
  <c r="D184" i="3" s="1"/>
  <c r="E176" i="3"/>
  <c r="D182" i="3" s="1"/>
  <c r="E175" i="3"/>
  <c r="E173" i="3"/>
  <c r="D187" i="3"/>
  <c r="D186" i="3"/>
  <c r="C68" i="2" s="1"/>
  <c r="E174" i="3"/>
  <c r="D185" i="3" s="1"/>
  <c r="E156" i="3"/>
  <c r="E153" i="3"/>
  <c r="E155" i="3"/>
  <c r="D167" i="3"/>
  <c r="C51" i="2" s="1"/>
  <c r="E51" i="2" s="1"/>
  <c r="G51" i="2" s="1"/>
  <c r="I51" i="2" s="1"/>
  <c r="D166" i="3"/>
  <c r="C50" i="2" s="1"/>
  <c r="E50" i="2" s="1"/>
  <c r="G50" i="2" s="1"/>
  <c r="I50" i="2" s="1"/>
  <c r="G145" i="3"/>
  <c r="G146" i="3" s="1"/>
  <c r="D161" i="3" s="1"/>
  <c r="E158" i="3"/>
  <c r="E157" i="3"/>
  <c r="E154" i="3"/>
  <c r="F5" i="4"/>
  <c r="E18" i="4"/>
  <c r="C65" i="2" l="1"/>
  <c r="D32" i="2"/>
  <c r="F32" i="2" s="1"/>
  <c r="H32" i="2" s="1"/>
  <c r="J32" i="2" s="1"/>
  <c r="E65" i="2"/>
  <c r="G65" i="2" s="1"/>
  <c r="I65" i="2" s="1"/>
  <c r="E14" i="12"/>
  <c r="D162" i="3"/>
  <c r="D33" i="2"/>
  <c r="F33" i="2" s="1"/>
  <c r="H33" i="2" s="1"/>
  <c r="J33" i="2" s="1"/>
  <c r="D164" i="3"/>
  <c r="D34" i="2"/>
  <c r="F34" i="2" s="1"/>
  <c r="H34" i="2" s="1"/>
  <c r="J34" i="2" s="1"/>
  <c r="D163" i="3"/>
  <c r="D35" i="2"/>
  <c r="E66" i="2"/>
  <c r="G66" i="2" s="1"/>
  <c r="I66" i="2" s="1"/>
  <c r="E15" i="12"/>
  <c r="D30" i="2"/>
  <c r="F30" i="2" s="1"/>
  <c r="H30" i="2" s="1"/>
  <c r="J30" i="2" s="1"/>
  <c r="D165" i="3"/>
  <c r="D31" i="2"/>
  <c r="F31" i="2" s="1"/>
  <c r="H31" i="2" s="1"/>
  <c r="J31" i="2" s="1"/>
  <c r="E69" i="2"/>
  <c r="G69" i="2" s="1"/>
  <c r="I69" i="2" s="1"/>
  <c r="E18" i="12"/>
  <c r="C63" i="2"/>
  <c r="D188" i="3"/>
  <c r="E68" i="2"/>
  <c r="G68" i="2" s="1"/>
  <c r="I68" i="2" s="1"/>
  <c r="E17" i="12"/>
  <c r="C45" i="2"/>
  <c r="E45" i="2" s="1"/>
  <c r="G45" i="2" s="1"/>
  <c r="I45" i="2" s="1"/>
  <c r="D5" i="11"/>
  <c r="C67" i="2"/>
  <c r="C64" i="2"/>
  <c r="G44" i="2"/>
  <c r="H29" i="2"/>
  <c r="F35" i="2"/>
  <c r="H35" i="2" s="1"/>
  <c r="J35" i="2" s="1"/>
  <c r="E208" i="3"/>
  <c r="D208" i="3"/>
  <c r="E188" i="3"/>
  <c r="E168" i="3"/>
  <c r="I56" i="2"/>
  <c r="O66" i="7"/>
  <c r="H153" i="1"/>
  <c r="E152" i="1"/>
  <c r="N12" i="10"/>
  <c r="M12" i="10"/>
  <c r="M8" i="10" s="1"/>
  <c r="L12" i="10"/>
  <c r="K12" i="10"/>
  <c r="K8" i="10" s="1"/>
  <c r="J12" i="10"/>
  <c r="J8" i="10" s="1"/>
  <c r="H12" i="10"/>
  <c r="G12" i="10"/>
  <c r="F12" i="10"/>
  <c r="O11" i="10"/>
  <c r="I11" i="10"/>
  <c r="O10" i="10"/>
  <c r="I10" i="10"/>
  <c r="I9" i="10"/>
  <c r="I12" i="10" s="1"/>
  <c r="H8" i="10"/>
  <c r="F8" i="10"/>
  <c r="M255" i="1"/>
  <c r="L255" i="1" s="1"/>
  <c r="I264" i="1"/>
  <c r="G264" i="1"/>
  <c r="E264" i="1"/>
  <c r="M262" i="1"/>
  <c r="L262" i="1"/>
  <c r="M261" i="1"/>
  <c r="F261" i="1" s="1"/>
  <c r="L261" i="1"/>
  <c r="I260" i="1"/>
  <c r="M259" i="1"/>
  <c r="L259" i="1" s="1"/>
  <c r="M258" i="1"/>
  <c r="F258" i="1" s="1"/>
  <c r="L258" i="1"/>
  <c r="J258" i="1"/>
  <c r="M257" i="1"/>
  <c r="L257" i="1"/>
  <c r="H257" i="1"/>
  <c r="F257" i="1"/>
  <c r="M256" i="1"/>
  <c r="L256" i="1" s="1"/>
  <c r="M254" i="1"/>
  <c r="L254" i="1" s="1"/>
  <c r="M253" i="1"/>
  <c r="M263" i="1" s="1"/>
  <c r="F219" i="1"/>
  <c r="F218" i="1"/>
  <c r="F226" i="1"/>
  <c r="F211" i="1"/>
  <c r="F210" i="1"/>
  <c r="F209" i="1"/>
  <c r="F208" i="1"/>
  <c r="F207" i="1"/>
  <c r="F206" i="1"/>
  <c r="F205" i="1"/>
  <c r="F204" i="1"/>
  <c r="F203" i="1"/>
  <c r="E211" i="1"/>
  <c r="E210" i="1"/>
  <c r="E209" i="1"/>
  <c r="E208" i="1"/>
  <c r="E207" i="1"/>
  <c r="E206" i="1"/>
  <c r="E205" i="1"/>
  <c r="E204" i="1"/>
  <c r="E203" i="1"/>
  <c r="O13" i="7"/>
  <c r="O75" i="7"/>
  <c r="O74" i="7"/>
  <c r="O73" i="7"/>
  <c r="O72" i="7"/>
  <c r="O71" i="7"/>
  <c r="O70" i="7"/>
  <c r="O69" i="7"/>
  <c r="O68" i="7"/>
  <c r="O67" i="7"/>
  <c r="O52" i="7"/>
  <c r="O51" i="7"/>
  <c r="O38" i="7"/>
  <c r="O37" i="7"/>
  <c r="O36" i="7"/>
  <c r="O35" i="7"/>
  <c r="O34" i="7"/>
  <c r="O33" i="7"/>
  <c r="O32" i="7"/>
  <c r="O31" i="7"/>
  <c r="O30" i="7"/>
  <c r="O29" i="7"/>
  <c r="C49" i="2" l="1"/>
  <c r="E49" i="2" s="1"/>
  <c r="G49" i="2" s="1"/>
  <c r="I49" i="2" s="1"/>
  <c r="D9" i="11"/>
  <c r="C46" i="2"/>
  <c r="E46" i="2" s="1"/>
  <c r="G46" i="2" s="1"/>
  <c r="I46" i="2" s="1"/>
  <c r="D6" i="11"/>
  <c r="E63" i="2"/>
  <c r="G63" i="2" s="1"/>
  <c r="I63" i="2" s="1"/>
  <c r="E12" i="12"/>
  <c r="E64" i="2"/>
  <c r="G64" i="2" s="1"/>
  <c r="I64" i="2" s="1"/>
  <c r="E13" i="12"/>
  <c r="C48" i="2"/>
  <c r="E48" i="2" s="1"/>
  <c r="G48" i="2" s="1"/>
  <c r="I48" i="2" s="1"/>
  <c r="D8" i="11"/>
  <c r="D168" i="3"/>
  <c r="F157" i="3" s="1"/>
  <c r="E67" i="2"/>
  <c r="G67" i="2" s="1"/>
  <c r="I67" i="2" s="1"/>
  <c r="E16" i="12"/>
  <c r="C47" i="2"/>
  <c r="E47" i="2" s="1"/>
  <c r="G47" i="2" s="1"/>
  <c r="I47" i="2" s="1"/>
  <c r="D7" i="11"/>
  <c r="I44" i="2"/>
  <c r="D141" i="3"/>
  <c r="M260" i="1"/>
  <c r="H260" i="1" s="1"/>
  <c r="M264" i="1"/>
  <c r="F264" i="1" s="1"/>
  <c r="F254" i="1"/>
  <c r="H254" i="1"/>
  <c r="J254" i="1"/>
  <c r="H261" i="1"/>
  <c r="H258" i="1"/>
  <c r="J261" i="1"/>
  <c r="J29" i="2"/>
  <c r="H264" i="1"/>
  <c r="J264" i="1"/>
  <c r="L264" i="1"/>
  <c r="F253" i="1"/>
  <c r="F263" i="1" s="1"/>
  <c r="H253" i="1"/>
  <c r="H263" i="1" s="1"/>
  <c r="J253" i="1"/>
  <c r="J263" i="1" s="1"/>
  <c r="O53" i="7"/>
  <c r="E19" i="12" l="1"/>
  <c r="D12" i="11"/>
  <c r="D14" i="11" s="1"/>
  <c r="E18" i="11" s="1"/>
  <c r="E9" i="12"/>
  <c r="E21" i="12"/>
  <c r="F260" i="1"/>
  <c r="L260" i="1"/>
  <c r="J260" i="1"/>
  <c r="C9" i="9" l="1"/>
  <c r="F9" i="9" s="1"/>
  <c r="C5" i="9"/>
  <c r="F13" i="9"/>
  <c r="F14" i="9"/>
  <c r="E36" i="2"/>
  <c r="G36" i="2" s="1"/>
  <c r="I36" i="2" s="1"/>
  <c r="F14" i="1"/>
  <c r="F13" i="1"/>
  <c r="F21" i="5"/>
  <c r="E21" i="5"/>
  <c r="I20" i="5"/>
  <c r="I19" i="5"/>
  <c r="H20" i="5"/>
  <c r="H19" i="5"/>
  <c r="G20" i="5"/>
  <c r="G19" i="5"/>
  <c r="F170" i="1"/>
  <c r="F169" i="1"/>
  <c r="F168" i="1"/>
  <c r="F167" i="1"/>
  <c r="F166" i="1"/>
  <c r="F165" i="1"/>
  <c r="F164" i="1"/>
  <c r="F163" i="1"/>
  <c r="F171" i="1" s="1"/>
  <c r="F162" i="1"/>
  <c r="E170" i="1"/>
  <c r="E169" i="1"/>
  <c r="E168" i="1"/>
  <c r="E166" i="1"/>
  <c r="E165" i="1"/>
  <c r="E164" i="1"/>
  <c r="E162" i="1"/>
  <c r="E171" i="1" s="1"/>
  <c r="E161" i="1"/>
  <c r="E153" i="1"/>
  <c r="E135" i="1"/>
  <c r="E126" i="1"/>
  <c r="G42" i="4"/>
  <c r="I36" i="4"/>
  <c r="G41" i="4"/>
  <c r="J34" i="4"/>
  <c r="I35" i="4" s="1"/>
  <c r="N18" i="1"/>
  <c r="O16" i="1" s="1"/>
  <c r="G11" i="8"/>
  <c r="G10" i="8"/>
  <c r="G9" i="8"/>
  <c r="G8" i="8"/>
  <c r="G7" i="8"/>
  <c r="G6" i="8"/>
  <c r="G5" i="8"/>
  <c r="F11" i="8"/>
  <c r="E76" i="7"/>
  <c r="N75" i="7"/>
  <c r="E39" i="7"/>
  <c r="N38" i="7"/>
  <c r="E32" i="6"/>
  <c r="G9" i="5"/>
  <c r="B14" i="5" s="1"/>
  <c r="F42" i="4"/>
  <c r="F41" i="4"/>
  <c r="F40" i="4"/>
  <c r="F39" i="4"/>
  <c r="W32" i="4"/>
  <c r="F29" i="4"/>
  <c r="E25" i="4"/>
  <c r="F25" i="4" s="1"/>
  <c r="D25" i="4"/>
  <c r="D24" i="4"/>
  <c r="E24" i="4" s="1"/>
  <c r="F24" i="4" s="1"/>
  <c r="T23" i="4"/>
  <c r="D23" i="4"/>
  <c r="E23" i="4" s="1"/>
  <c r="F23" i="4" s="1"/>
  <c r="V22" i="4"/>
  <c r="D22" i="4"/>
  <c r="E22" i="4" s="1"/>
  <c r="F22" i="4" s="1"/>
  <c r="I20" i="4"/>
  <c r="V18" i="4"/>
  <c r="L17" i="4"/>
  <c r="L14" i="4"/>
  <c r="L13" i="4"/>
  <c r="S9" i="4"/>
  <c r="N9" i="4"/>
  <c r="M9" i="4"/>
  <c r="L9" i="4"/>
  <c r="S8" i="4"/>
  <c r="Q8" i="4"/>
  <c r="R8" i="4" s="1"/>
  <c r="M8" i="4"/>
  <c r="L16" i="4" s="1"/>
  <c r="L8" i="4"/>
  <c r="E8" i="4"/>
  <c r="S7" i="4"/>
  <c r="W7" i="4"/>
  <c r="X7" i="4" s="1"/>
  <c r="M7" i="4"/>
  <c r="L15" i="4" s="1"/>
  <c r="L7" i="4"/>
  <c r="S6" i="4"/>
  <c r="V6" i="4"/>
  <c r="M6" i="4"/>
  <c r="L6" i="4"/>
  <c r="D6" i="4"/>
  <c r="E6" i="4" s="1"/>
  <c r="F6" i="4" s="1"/>
  <c r="S5" i="4"/>
  <c r="N5" i="4"/>
  <c r="M5" i="4"/>
  <c r="D5" i="4"/>
  <c r="E5" i="4" s="1"/>
  <c r="S4" i="4"/>
  <c r="Q4" i="4"/>
  <c r="M4" i="4"/>
  <c r="L12" i="4" s="1"/>
  <c r="E4" i="4"/>
  <c r="G5" i="4" s="1"/>
  <c r="D4" i="4"/>
  <c r="S3" i="4"/>
  <c r="T3" i="4"/>
  <c r="M3" i="4"/>
  <c r="L3" i="4"/>
  <c r="E3" i="4"/>
  <c r="D3" i="4"/>
  <c r="E296" i="3"/>
  <c r="E290" i="3"/>
  <c r="E285" i="3"/>
  <c r="E280" i="3"/>
  <c r="F238" i="3"/>
  <c r="D272" i="3" s="1"/>
  <c r="D265" i="3"/>
  <c r="D261" i="3"/>
  <c r="E260" i="3"/>
  <c r="E261" i="3" s="1"/>
  <c r="E254" i="3"/>
  <c r="D254" i="3"/>
  <c r="D245" i="3"/>
  <c r="D238" i="3"/>
  <c r="D231" i="3"/>
  <c r="D224" i="3"/>
  <c r="E148" i="3"/>
  <c r="D42" i="2" s="1"/>
  <c r="E142" i="3"/>
  <c r="D41" i="2" s="1"/>
  <c r="E137" i="3"/>
  <c r="D40" i="2" s="1"/>
  <c r="E132" i="3"/>
  <c r="D39" i="2" s="1"/>
  <c r="D117" i="3"/>
  <c r="E116" i="3"/>
  <c r="E117" i="3" s="1"/>
  <c r="E111" i="3"/>
  <c r="D111" i="3"/>
  <c r="E105" i="3"/>
  <c r="D98" i="3"/>
  <c r="D99" i="3" s="1"/>
  <c r="D93" i="3"/>
  <c r="D84" i="3"/>
  <c r="C16" i="2" s="1"/>
  <c r="E16" i="2" s="1"/>
  <c r="G16" i="2" s="1"/>
  <c r="I16" i="2" s="1"/>
  <c r="M82" i="3"/>
  <c r="K82" i="3"/>
  <c r="D246" i="3" s="1"/>
  <c r="M81" i="3"/>
  <c r="K81" i="3"/>
  <c r="D239" i="3" s="1"/>
  <c r="M80" i="3"/>
  <c r="K80" i="3"/>
  <c r="D232" i="3" s="1"/>
  <c r="M79" i="3"/>
  <c r="K79" i="3"/>
  <c r="D225" i="3" s="1"/>
  <c r="D78" i="3"/>
  <c r="C15" i="2" s="1"/>
  <c r="E15" i="2" s="1"/>
  <c r="G15" i="2" s="1"/>
  <c r="I15" i="2" s="1"/>
  <c r="D70" i="3"/>
  <c r="M66" i="3"/>
  <c r="K66" i="3"/>
  <c r="D85" i="3" s="1"/>
  <c r="M65" i="3"/>
  <c r="M64" i="3"/>
  <c r="K64" i="3"/>
  <c r="D71" i="3" s="1"/>
  <c r="M63" i="3"/>
  <c r="K63" i="3"/>
  <c r="D63" i="3" s="1"/>
  <c r="M54" i="3"/>
  <c r="E57" i="3" s="1"/>
  <c r="E58" i="3" s="1"/>
  <c r="L52" i="3"/>
  <c r="L53" i="3" s="1"/>
  <c r="M53" i="3" s="1"/>
  <c r="D56" i="3" s="1"/>
  <c r="K49" i="3"/>
  <c r="N48" i="3"/>
  <c r="O48" i="3" s="1"/>
  <c r="K48" i="3"/>
  <c r="P47" i="3"/>
  <c r="O47" i="3"/>
  <c r="D48" i="3" s="1"/>
  <c r="C11" i="2" s="1"/>
  <c r="E11" i="2" s="1"/>
  <c r="G11" i="2" s="1"/>
  <c r="I11" i="2" s="1"/>
  <c r="E43" i="3"/>
  <c r="E44" i="3" s="1"/>
  <c r="L40" i="3"/>
  <c r="K38" i="3"/>
  <c r="D41" i="3" s="1"/>
  <c r="D34" i="3"/>
  <c r="D36" i="3" s="1"/>
  <c r="H24" i="3"/>
  <c r="J25" i="3" s="1"/>
  <c r="D21" i="3"/>
  <c r="E20" i="3"/>
  <c r="E21" i="3" s="1"/>
  <c r="Q14" i="3"/>
  <c r="Q13" i="3"/>
  <c r="H6" i="3"/>
  <c r="H7" i="3" s="1"/>
  <c r="D12" i="3" s="1"/>
  <c r="J56" i="2"/>
  <c r="I53" i="2"/>
  <c r="N52" i="2"/>
  <c r="J52" i="2"/>
  <c r="H52" i="2"/>
  <c r="N42" i="2"/>
  <c r="P42" i="2" s="1"/>
  <c r="R42" i="2" s="1"/>
  <c r="N41" i="2"/>
  <c r="P41" i="2" s="1"/>
  <c r="R41" i="2" s="1"/>
  <c r="N40" i="2"/>
  <c r="P40" i="2" s="1"/>
  <c r="R40" i="2" s="1"/>
  <c r="N39" i="2"/>
  <c r="P39" i="2" s="1"/>
  <c r="N38" i="2"/>
  <c r="R38" i="2" s="1"/>
  <c r="F38" i="2"/>
  <c r="J38" i="2" s="1"/>
  <c r="N37" i="2"/>
  <c r="P37" i="2" s="1"/>
  <c r="R36" i="2"/>
  <c r="M36" i="2"/>
  <c r="O36" i="2" s="1"/>
  <c r="Q36" i="2" s="1"/>
  <c r="J36" i="2"/>
  <c r="M28" i="2"/>
  <c r="O28" i="2" s="1"/>
  <c r="Q28" i="2" s="1"/>
  <c r="E28" i="2"/>
  <c r="G28" i="2" s="1"/>
  <c r="I28" i="2" s="1"/>
  <c r="N27" i="2"/>
  <c r="F27" i="2"/>
  <c r="Q26" i="2"/>
  <c r="I26" i="2"/>
  <c r="M25" i="2"/>
  <c r="Q25" i="2" s="1"/>
  <c r="E25" i="2"/>
  <c r="M24" i="2"/>
  <c r="Q24" i="2" s="1"/>
  <c r="E24" i="2"/>
  <c r="M23" i="2"/>
  <c r="Q23" i="2" s="1"/>
  <c r="E23" i="2"/>
  <c r="M22" i="2"/>
  <c r="Q22" i="2" s="1"/>
  <c r="Q21" i="2"/>
  <c r="I21" i="2"/>
  <c r="F20" i="2"/>
  <c r="H20" i="2" s="1"/>
  <c r="J20" i="2" s="1"/>
  <c r="N10" i="2"/>
  <c r="F10" i="2"/>
  <c r="M9" i="2"/>
  <c r="Q9" i="2" s="1"/>
  <c r="E9" i="2"/>
  <c r="C6" i="9" l="1"/>
  <c r="C14" i="2"/>
  <c r="E14" i="2" s="1"/>
  <c r="G14" i="2" s="1"/>
  <c r="I14" i="2" s="1"/>
  <c r="J13" i="17"/>
  <c r="D72" i="2"/>
  <c r="C73" i="2" s="1"/>
  <c r="F40" i="2"/>
  <c r="H40" i="2" s="1"/>
  <c r="J40" i="2" s="1"/>
  <c r="K13" i="17"/>
  <c r="K28" i="17" s="1"/>
  <c r="F41" i="2"/>
  <c r="H41" i="2" s="1"/>
  <c r="J41" i="2" s="1"/>
  <c r="L13" i="17"/>
  <c r="L28" i="17" s="1"/>
  <c r="F42" i="2"/>
  <c r="H42" i="2" s="1"/>
  <c r="J42" i="2" s="1"/>
  <c r="M13" i="17"/>
  <c r="M28" i="17" s="1"/>
  <c r="M30" i="17" s="1"/>
  <c r="O15" i="1"/>
  <c r="C55" i="2"/>
  <c r="C72" i="2" s="1"/>
  <c r="O17" i="1"/>
  <c r="F37" i="2"/>
  <c r="J37" i="2" s="1"/>
  <c r="E5" i="9"/>
  <c r="F5" i="9" s="1"/>
  <c r="E6" i="9"/>
  <c r="F6" i="9" s="1"/>
  <c r="I9" i="2"/>
  <c r="B13" i="5"/>
  <c r="D13" i="5" s="1"/>
  <c r="E13" i="5" s="1"/>
  <c r="I21" i="5"/>
  <c r="O49" i="3"/>
  <c r="E50" i="3" s="1"/>
  <c r="E51" i="3" s="1"/>
  <c r="E64" i="3"/>
  <c r="E65" i="3" s="1"/>
  <c r="D65" i="3"/>
  <c r="K50" i="3"/>
  <c r="E79" i="3"/>
  <c r="E80" i="3" s="1"/>
  <c r="J7" i="3"/>
  <c r="E13" i="3" s="1"/>
  <c r="D11" i="3"/>
  <c r="D15" i="3" s="1"/>
  <c r="M83" i="3"/>
  <c r="E86" i="3"/>
  <c r="E87" i="3" s="1"/>
  <c r="D248" i="3"/>
  <c r="D80" i="3"/>
  <c r="D87" i="3"/>
  <c r="C7" i="9"/>
  <c r="F7" i="9" s="1"/>
  <c r="K67" i="3"/>
  <c r="D73" i="3"/>
  <c r="D241" i="3"/>
  <c r="C3" i="9"/>
  <c r="C8" i="9"/>
  <c r="D8" i="9" s="1"/>
  <c r="M67" i="3"/>
  <c r="D234" i="3"/>
  <c r="F21" i="2"/>
  <c r="H21" i="2" s="1"/>
  <c r="J21" i="2" s="1"/>
  <c r="E22" i="2"/>
  <c r="O9" i="2"/>
  <c r="F39" i="2"/>
  <c r="J39" i="2" s="1"/>
  <c r="E55" i="2"/>
  <c r="N3" i="4"/>
  <c r="Q5" i="4"/>
  <c r="R5" i="4" s="1"/>
  <c r="J20" i="5"/>
  <c r="K20" i="5" s="1"/>
  <c r="J19" i="5"/>
  <c r="K19" i="5" s="1"/>
  <c r="I24" i="2"/>
  <c r="G24" i="2"/>
  <c r="N6" i="4"/>
  <c r="T7" i="4"/>
  <c r="U7" i="4" s="1"/>
  <c r="T8" i="4"/>
  <c r="U8" i="4" s="1"/>
  <c r="E99" i="3"/>
  <c r="N8" i="4"/>
  <c r="D104" i="3"/>
  <c r="D105" i="3" s="1"/>
  <c r="Q3" i="4"/>
  <c r="R3" i="4" s="1"/>
  <c r="L72" i="2"/>
  <c r="V3" i="4"/>
  <c r="V7" i="4"/>
  <c r="W8" i="4"/>
  <c r="X8" i="4" s="1"/>
  <c r="Q7" i="4"/>
  <c r="R7" i="4" s="1"/>
  <c r="G23" i="2"/>
  <c r="I23" i="2" s="1"/>
  <c r="W3" i="4"/>
  <c r="X3" i="4" s="1"/>
  <c r="G25" i="2"/>
  <c r="H35" i="4"/>
  <c r="E7" i="6"/>
  <c r="F7" i="6" s="1"/>
  <c r="E16" i="6"/>
  <c r="F16" i="6" s="1"/>
  <c r="F32" i="6"/>
  <c r="D14" i="5"/>
  <c r="C14" i="5"/>
  <c r="E7" i="4"/>
  <c r="U3" i="4"/>
  <c r="R4" i="4"/>
  <c r="F3" i="4"/>
  <c r="F4" i="4"/>
  <c r="G3" i="4"/>
  <c r="G4" i="4"/>
  <c r="Q6" i="4"/>
  <c r="R6" i="4" s="1"/>
  <c r="V8" i="4"/>
  <c r="D26" i="4"/>
  <c r="E26" i="4" s="1"/>
  <c r="F26" i="4" s="1"/>
  <c r="T9" i="4"/>
  <c r="U9" i="4" s="1"/>
  <c r="N4" i="4"/>
  <c r="T6" i="4"/>
  <c r="V9" i="4"/>
  <c r="N7" i="4"/>
  <c r="W9" i="4"/>
  <c r="X9" i="4" s="1"/>
  <c r="E240" i="3"/>
  <c r="E241" i="3" s="1"/>
  <c r="D273" i="3"/>
  <c r="D275" i="3" s="1"/>
  <c r="D227" i="3"/>
  <c r="K39" i="3"/>
  <c r="H40" i="3"/>
  <c r="N52" i="3"/>
  <c r="K83" i="3"/>
  <c r="E91" i="3"/>
  <c r="E93" i="3" s="1"/>
  <c r="E233" i="3"/>
  <c r="E234" i="3" s="1"/>
  <c r="M52" i="3"/>
  <c r="D55" i="3" s="1"/>
  <c r="C12" i="2" s="1"/>
  <c r="E12" i="2" s="1"/>
  <c r="G12" i="2" s="1"/>
  <c r="I12" i="2" s="1"/>
  <c r="E247" i="3"/>
  <c r="E248" i="3" s="1"/>
  <c r="E35" i="3"/>
  <c r="E36" i="3" s="1"/>
  <c r="E226" i="3"/>
  <c r="E227" i="3" s="1"/>
  <c r="H25" i="3"/>
  <c r="D26" i="3" s="1"/>
  <c r="D266" i="3"/>
  <c r="D268" i="3" s="1"/>
  <c r="D49" i="3"/>
  <c r="D51" i="3" s="1"/>
  <c r="E72" i="3"/>
  <c r="E73" i="3" s="1"/>
  <c r="D25" i="3"/>
  <c r="R27" i="2"/>
  <c r="P27" i="2"/>
  <c r="R52" i="2"/>
  <c r="P52" i="2"/>
  <c r="J27" i="2"/>
  <c r="H27" i="2"/>
  <c r="R37" i="2"/>
  <c r="R39" i="2"/>
  <c r="G9" i="2"/>
  <c r="P10" i="2"/>
  <c r="N21" i="2"/>
  <c r="P21" i="2" s="1"/>
  <c r="R21" i="2" s="1"/>
  <c r="H10" i="2"/>
  <c r="O22" i="2"/>
  <c r="O23" i="2"/>
  <c r="O24" i="2"/>
  <c r="O25" i="2"/>
  <c r="K55" i="2"/>
  <c r="M55" i="2" s="1"/>
  <c r="O55" i="2" s="1"/>
  <c r="Q55" i="2" s="1"/>
  <c r="K30" i="17" l="1"/>
  <c r="K32" i="17" s="1"/>
  <c r="K34" i="17" s="1"/>
  <c r="K36" i="17" s="1"/>
  <c r="L30" i="17"/>
  <c r="L32" i="17" s="1"/>
  <c r="L34" i="17" s="1"/>
  <c r="L36" i="17" s="1"/>
  <c r="M32" i="17"/>
  <c r="M34" i="17" s="1"/>
  <c r="M36" i="17" s="1"/>
  <c r="G13" i="17"/>
  <c r="O18" i="1"/>
  <c r="H37" i="2"/>
  <c r="G55" i="2"/>
  <c r="I55" i="2" s="1"/>
  <c r="D3" i="9"/>
  <c r="F3" i="9" s="1"/>
  <c r="E160" i="1"/>
  <c r="C13" i="5"/>
  <c r="E14" i="5"/>
  <c r="E15" i="5" s="1"/>
  <c r="F160" i="1"/>
  <c r="G22" i="2"/>
  <c r="J21" i="5"/>
  <c r="K21" i="5"/>
  <c r="I22" i="2"/>
  <c r="E14" i="3"/>
  <c r="E15" i="3" s="1"/>
  <c r="L68" i="3"/>
  <c r="F8" i="9"/>
  <c r="E27" i="3"/>
  <c r="E28" i="3" s="1"/>
  <c r="D58" i="3"/>
  <c r="C4" i="9"/>
  <c r="L84" i="3"/>
  <c r="N11" i="4"/>
  <c r="H39" i="2"/>
  <c r="J72" i="2"/>
  <c r="V11" i="4"/>
  <c r="V12" i="4" s="1"/>
  <c r="Q11" i="4"/>
  <c r="Q12" i="4" s="1"/>
  <c r="R9" i="4"/>
  <c r="Q72" i="2"/>
  <c r="E18" i="6"/>
  <c r="G16" i="6"/>
  <c r="F18" i="6" s="1"/>
  <c r="G7" i="6"/>
  <c r="F9" i="6" s="1"/>
  <c r="E9" i="6"/>
  <c r="E34" i="6"/>
  <c r="G32" i="6"/>
  <c r="F34" i="6" s="1"/>
  <c r="T11" i="4"/>
  <c r="T12" i="4" s="1"/>
  <c r="F34" i="4"/>
  <c r="G7" i="4"/>
  <c r="U6" i="4"/>
  <c r="W6" i="4"/>
  <c r="H41" i="3"/>
  <c r="H42" i="3" s="1"/>
  <c r="D42" i="3"/>
  <c r="D44" i="3" s="1"/>
  <c r="E267" i="3"/>
  <c r="E268" i="3" s="1"/>
  <c r="E274" i="3"/>
  <c r="E275" i="3" s="1"/>
  <c r="D28" i="3"/>
  <c r="K72" i="2"/>
  <c r="K73" i="2" s="1"/>
  <c r="R72" i="2"/>
  <c r="P72" i="2"/>
  <c r="M72" i="2"/>
  <c r="N72" i="2"/>
  <c r="O72" i="2"/>
  <c r="J28" i="17" l="1"/>
  <c r="H72" i="2"/>
  <c r="E4" i="9"/>
  <c r="E12" i="9" s="1"/>
  <c r="E54" i="2"/>
  <c r="E72" i="2" s="1"/>
  <c r="D12" i="9"/>
  <c r="C12" i="9"/>
  <c r="F12" i="1"/>
  <c r="E10" i="6"/>
  <c r="F35" i="6"/>
  <c r="F36" i="6" s="1"/>
  <c r="F37" i="6" s="1"/>
  <c r="G34" i="6"/>
  <c r="E35" i="6"/>
  <c r="F10" i="6"/>
  <c r="F11" i="6" s="1"/>
  <c r="F12" i="6" s="1"/>
  <c r="G9" i="6"/>
  <c r="F19" i="6"/>
  <c r="F20" i="6" s="1"/>
  <c r="F21" i="6" s="1"/>
  <c r="F22" i="6" s="1"/>
  <c r="F23" i="6" s="1"/>
  <c r="F24" i="6" s="1"/>
  <c r="F25" i="6" s="1"/>
  <c r="F26" i="6" s="1"/>
  <c r="G18" i="6"/>
  <c r="E19" i="6"/>
  <c r="X6" i="4"/>
  <c r="X10" i="4" s="1"/>
  <c r="W11" i="4"/>
  <c r="W12" i="4" s="1"/>
  <c r="J30" i="17" l="1"/>
  <c r="G30" i="17" s="1"/>
  <c r="G32" i="17"/>
  <c r="F12" i="9"/>
  <c r="F4" i="9"/>
  <c r="E36" i="6"/>
  <c r="E37" i="6" s="1"/>
  <c r="E38" i="6" s="1"/>
  <c r="F72" i="2"/>
  <c r="E123" i="1"/>
  <c r="P77" i="1"/>
  <c r="D9" i="10"/>
  <c r="E80" i="1"/>
  <c r="E150" i="1"/>
  <c r="G54" i="2"/>
  <c r="G72" i="2" s="1"/>
  <c r="E73" i="2"/>
  <c r="F35" i="4"/>
  <c r="F36" i="4" s="1"/>
  <c r="E11" i="6"/>
  <c r="E12" i="6" s="1"/>
  <c r="E13" i="6" s="1"/>
  <c r="E20" i="6"/>
  <c r="E21" i="6" s="1"/>
  <c r="E22" i="6" s="1"/>
  <c r="E23" i="6" s="1"/>
  <c r="E24" i="6" s="1"/>
  <c r="E25" i="6" s="1"/>
  <c r="E26" i="6" s="1"/>
  <c r="E27" i="6" s="1"/>
  <c r="G35" i="4"/>
  <c r="J32" i="17" l="1"/>
  <c r="J34" i="17"/>
  <c r="O9" i="10"/>
  <c r="O12" i="10" s="1"/>
  <c r="D12" i="10"/>
  <c r="I54" i="2"/>
  <c r="I72" i="2" s="1"/>
  <c r="J35" i="4"/>
  <c r="G36" i="4"/>
  <c r="G39" i="4"/>
  <c r="G34" i="17" l="1"/>
  <c r="J36" i="17"/>
  <c r="I73" i="2"/>
  <c r="G40" i="4"/>
  <c r="H36" i="4"/>
  <c r="G36" i="17" l="1"/>
  <c r="I331" i="1"/>
  <c r="J326" i="1" s="1"/>
  <c r="F332" i="1" s="1"/>
  <c r="F323" i="1" s="1"/>
  <c r="F315" i="1"/>
  <c r="E315" i="1"/>
  <c r="C315" i="1"/>
  <c r="B315" i="1"/>
  <c r="G314" i="1"/>
  <c r="C312" i="1"/>
  <c r="B311" i="1"/>
  <c r="B310" i="1"/>
  <c r="B309" i="1"/>
  <c r="B308" i="1"/>
  <c r="B307" i="1"/>
  <c r="B306" i="1"/>
  <c r="B305" i="1"/>
  <c r="B304" i="1"/>
  <c r="B303" i="1"/>
  <c r="B301" i="1"/>
  <c r="D290" i="1"/>
  <c r="E287" i="1"/>
  <c r="F286" i="1" s="1"/>
  <c r="D283" i="1"/>
  <c r="E280" i="1"/>
  <c r="F279" i="1" s="1"/>
  <c r="H276" i="1"/>
  <c r="E273" i="1"/>
  <c r="F272" i="1" s="1"/>
  <c r="E331" i="1"/>
  <c r="E322" i="1" s="1"/>
  <c r="C322" i="1"/>
  <c r="H240" i="1"/>
  <c r="K253" i="1" s="1"/>
  <c r="G240" i="1"/>
  <c r="I253" i="1" s="1"/>
  <c r="I263" i="1" s="1"/>
  <c r="F240" i="1"/>
  <c r="G253" i="1" s="1"/>
  <c r="G263" i="1" s="1"/>
  <c r="E240" i="1"/>
  <c r="F227" i="1"/>
  <c r="G226" i="1" s="1"/>
  <c r="E227" i="1"/>
  <c r="F220" i="1"/>
  <c r="G219" i="1" s="1"/>
  <c r="H219" i="1" s="1"/>
  <c r="C300" i="1" s="1"/>
  <c r="E220" i="1"/>
  <c r="F212" i="1"/>
  <c r="E212" i="1"/>
  <c r="G211" i="1"/>
  <c r="G210" i="1"/>
  <c r="G209" i="1"/>
  <c r="G208" i="1"/>
  <c r="G207" i="1"/>
  <c r="G206" i="1"/>
  <c r="G205" i="1"/>
  <c r="G204" i="1"/>
  <c r="G203" i="1"/>
  <c r="F197" i="1"/>
  <c r="G196" i="1" s="1"/>
  <c r="E197" i="1"/>
  <c r="F192" i="1"/>
  <c r="G190" i="1" s="1"/>
  <c r="E192" i="1"/>
  <c r="F186" i="1"/>
  <c r="E186" i="1"/>
  <c r="G185" i="1"/>
  <c r="G184" i="1"/>
  <c r="G183" i="1"/>
  <c r="G182" i="1"/>
  <c r="G181" i="1"/>
  <c r="G180" i="1"/>
  <c r="G179" i="1"/>
  <c r="G178" i="1"/>
  <c r="G177" i="1"/>
  <c r="I171" i="1"/>
  <c r="H171" i="1"/>
  <c r="J170" i="1"/>
  <c r="J169" i="1"/>
  <c r="J168" i="1"/>
  <c r="J167" i="1"/>
  <c r="J166" i="1"/>
  <c r="J165" i="1"/>
  <c r="J164" i="1"/>
  <c r="S163" i="1"/>
  <c r="T146" i="1" s="1"/>
  <c r="J163" i="1"/>
  <c r="J162" i="1"/>
  <c r="T161" i="1"/>
  <c r="T160" i="1"/>
  <c r="J160" i="1"/>
  <c r="T159" i="1"/>
  <c r="T157" i="1"/>
  <c r="T156" i="1"/>
  <c r="T155" i="1"/>
  <c r="T154" i="1"/>
  <c r="E154" i="1"/>
  <c r="T153" i="1"/>
  <c r="T152" i="1"/>
  <c r="T151" i="1"/>
  <c r="T150" i="1"/>
  <c r="T149" i="1"/>
  <c r="T148" i="1"/>
  <c r="E145" i="1"/>
  <c r="F142" i="1" s="1"/>
  <c r="G142" i="1" s="1"/>
  <c r="J133" i="1" s="1"/>
  <c r="L118" i="1"/>
  <c r="H111" i="1"/>
  <c r="I94" i="1"/>
  <c r="I93" i="1"/>
  <c r="I92" i="1"/>
  <c r="I91" i="1"/>
  <c r="I90" i="1"/>
  <c r="I84" i="1"/>
  <c r="O80" i="1"/>
  <c r="N80" i="1"/>
  <c r="N76" i="1" s="1"/>
  <c r="E128" i="1" s="1"/>
  <c r="M80" i="1"/>
  <c r="L80" i="1"/>
  <c r="L76" i="1" s="1"/>
  <c r="E127" i="1" s="1"/>
  <c r="K80" i="1"/>
  <c r="K76" i="1" s="1"/>
  <c r="E124" i="1" s="1"/>
  <c r="I80" i="1"/>
  <c r="J79" i="1" s="1"/>
  <c r="H80" i="1"/>
  <c r="G80" i="1"/>
  <c r="G76" i="1" s="1"/>
  <c r="E125" i="1" s="1"/>
  <c r="P79" i="1"/>
  <c r="E136" i="1" s="1"/>
  <c r="P78" i="1"/>
  <c r="E134" i="1"/>
  <c r="H23" i="1"/>
  <c r="F18" i="1"/>
  <c r="H25" i="1" l="1"/>
  <c r="I23" i="1" s="1"/>
  <c r="E249" i="1"/>
  <c r="E253" i="1"/>
  <c r="E263" i="1" s="1"/>
  <c r="K162" i="1"/>
  <c r="K171" i="1" s="1"/>
  <c r="G315" i="1"/>
  <c r="S318" i="1" s="1"/>
  <c r="O309" i="1"/>
  <c r="C330" i="1"/>
  <c r="C333" i="1" s="1"/>
  <c r="I25" i="1"/>
  <c r="E330" i="1" s="1"/>
  <c r="E321" i="1" s="1"/>
  <c r="K263" i="1"/>
  <c r="L263" i="1" s="1"/>
  <c r="L253" i="1"/>
  <c r="F77" i="1"/>
  <c r="D8" i="10"/>
  <c r="E129" i="1"/>
  <c r="F124" i="1" s="1"/>
  <c r="J124" i="1" s="1"/>
  <c r="E137" i="1"/>
  <c r="F135" i="1" s="1"/>
  <c r="J134" i="1" s="1"/>
  <c r="I76" i="1"/>
  <c r="P76" i="1" s="1"/>
  <c r="G191" i="1"/>
  <c r="H191" i="1" s="1"/>
  <c r="E300" i="1" s="1"/>
  <c r="G300" i="1" s="1"/>
  <c r="O299" i="1" s="1"/>
  <c r="J324" i="1"/>
  <c r="D332" i="1" s="1"/>
  <c r="D323" i="1" s="1"/>
  <c r="J325" i="1"/>
  <c r="E332" i="1" s="1"/>
  <c r="E323" i="1" s="1"/>
  <c r="J77" i="1"/>
  <c r="C323" i="1"/>
  <c r="P80" i="1"/>
  <c r="J78" i="1"/>
  <c r="F143" i="1"/>
  <c r="G143" i="1" s="1"/>
  <c r="G186" i="1"/>
  <c r="H183" i="1" s="1"/>
  <c r="F249" i="1"/>
  <c r="G249" i="1"/>
  <c r="H249" i="1"/>
  <c r="J171" i="1"/>
  <c r="E283" i="1"/>
  <c r="F283" i="1" s="1"/>
  <c r="F280" i="1"/>
  <c r="F287" i="1"/>
  <c r="E290" i="1"/>
  <c r="F290" i="1" s="1"/>
  <c r="H190" i="1"/>
  <c r="G227" i="1"/>
  <c r="H226" i="1"/>
  <c r="H227" i="1" s="1"/>
  <c r="H196" i="1"/>
  <c r="H197" i="1" s="1"/>
  <c r="G197" i="1"/>
  <c r="G212" i="1"/>
  <c r="H205" i="1" s="1"/>
  <c r="F144" i="1"/>
  <c r="T158" i="1"/>
  <c r="D331" i="1"/>
  <c r="D322" i="1" s="1"/>
  <c r="T162" i="1"/>
  <c r="F271" i="1"/>
  <c r="F273" i="1" s="1"/>
  <c r="G218" i="1"/>
  <c r="F78" i="1"/>
  <c r="F79" i="1"/>
  <c r="I26" i="1" l="1"/>
  <c r="F330" i="1" s="1"/>
  <c r="I24" i="1"/>
  <c r="H180" i="1"/>
  <c r="I180" i="1" s="1"/>
  <c r="E306" i="1" s="1"/>
  <c r="F321" i="1"/>
  <c r="F324" i="1" s="1"/>
  <c r="F333" i="1"/>
  <c r="F125" i="1"/>
  <c r="J125" i="1" s="1"/>
  <c r="F128" i="1"/>
  <c r="J128" i="1" s="1"/>
  <c r="F127" i="1"/>
  <c r="J127" i="1" s="1"/>
  <c r="F136" i="1"/>
  <c r="J135" i="1" s="1"/>
  <c r="F126" i="1"/>
  <c r="J126" i="1" s="1"/>
  <c r="F134" i="1"/>
  <c r="G134" i="1" s="1"/>
  <c r="G135" i="1" s="1"/>
  <c r="E10" i="10"/>
  <c r="E11" i="10"/>
  <c r="O8" i="10"/>
  <c r="E9" i="10"/>
  <c r="H203" i="1"/>
  <c r="F145" i="1"/>
  <c r="J80" i="1"/>
  <c r="H177" i="1"/>
  <c r="L162" i="1" s="1"/>
  <c r="E333" i="1"/>
  <c r="F123" i="1"/>
  <c r="D330" i="1"/>
  <c r="D333" i="1" s="1"/>
  <c r="H185" i="1"/>
  <c r="I185" i="1" s="1"/>
  <c r="E311" i="1" s="1"/>
  <c r="G192" i="1"/>
  <c r="F80" i="1"/>
  <c r="H181" i="1"/>
  <c r="L166" i="1" s="1"/>
  <c r="H184" i="1"/>
  <c r="L169" i="1" s="1"/>
  <c r="H178" i="1"/>
  <c r="L163" i="1" s="1"/>
  <c r="H182" i="1"/>
  <c r="H179" i="1"/>
  <c r="I179" i="1" s="1"/>
  <c r="E305" i="1" s="1"/>
  <c r="I205" i="1"/>
  <c r="D305" i="1" s="1"/>
  <c r="N164" i="1"/>
  <c r="E299" i="1"/>
  <c r="E301" i="1" s="1"/>
  <c r="H192" i="1"/>
  <c r="L168" i="1"/>
  <c r="I183" i="1"/>
  <c r="E309" i="1" s="1"/>
  <c r="G144" i="1"/>
  <c r="H218" i="1"/>
  <c r="G220" i="1"/>
  <c r="H204" i="1"/>
  <c r="H209" i="1"/>
  <c r="H207" i="1"/>
  <c r="H211" i="1"/>
  <c r="H208" i="1"/>
  <c r="H206" i="1"/>
  <c r="T163" i="1"/>
  <c r="C321" i="1"/>
  <c r="C324" i="1" s="1"/>
  <c r="H210" i="1"/>
  <c r="L165" i="1" l="1"/>
  <c r="I181" i="1"/>
  <c r="E307" i="1" s="1"/>
  <c r="I177" i="1"/>
  <c r="F137" i="1"/>
  <c r="G136" i="1"/>
  <c r="J123" i="1"/>
  <c r="G123" i="1"/>
  <c r="G124" i="1" s="1"/>
  <c r="E12" i="10"/>
  <c r="D321" i="1"/>
  <c r="D324" i="1" s="1"/>
  <c r="I324" i="1" s="1"/>
  <c r="F129" i="1"/>
  <c r="L170" i="1"/>
  <c r="I326" i="1"/>
  <c r="L164" i="1"/>
  <c r="H186" i="1"/>
  <c r="I178" i="1"/>
  <c r="E304" i="1" s="1"/>
  <c r="I184" i="1"/>
  <c r="E310" i="1" s="1"/>
  <c r="L167" i="1"/>
  <c r="I182" i="1"/>
  <c r="E308" i="1" s="1"/>
  <c r="E303" i="1"/>
  <c r="I208" i="1"/>
  <c r="D308" i="1" s="1"/>
  <c r="N167" i="1"/>
  <c r="C299" i="1"/>
  <c r="H220" i="1"/>
  <c r="I203" i="1"/>
  <c r="H212" i="1"/>
  <c r="N162" i="1"/>
  <c r="I207" i="1"/>
  <c r="D307" i="1" s="1"/>
  <c r="G307" i="1" s="1"/>
  <c r="O304" i="1" s="1"/>
  <c r="N166" i="1"/>
  <c r="N163" i="1"/>
  <c r="I204" i="1"/>
  <c r="D304" i="1" s="1"/>
  <c r="I210" i="1"/>
  <c r="D310" i="1" s="1"/>
  <c r="N169" i="1"/>
  <c r="I211" i="1"/>
  <c r="D311" i="1" s="1"/>
  <c r="G311" i="1" s="1"/>
  <c r="O308" i="1" s="1"/>
  <c r="N170" i="1"/>
  <c r="I322" i="1"/>
  <c r="H320" i="1"/>
  <c r="I206" i="1"/>
  <c r="D306" i="1" s="1"/>
  <c r="G306" i="1" s="1"/>
  <c r="O303" i="1" s="1"/>
  <c r="N165" i="1"/>
  <c r="I209" i="1"/>
  <c r="D309" i="1" s="1"/>
  <c r="G309" i="1" s="1"/>
  <c r="O306" i="1" s="1"/>
  <c r="N168" i="1"/>
  <c r="G305" i="1"/>
  <c r="O302" i="1" s="1"/>
  <c r="G310" i="1" l="1"/>
  <c r="O307" i="1" s="1"/>
  <c r="G304" i="1"/>
  <c r="O301" i="1" s="1"/>
  <c r="L171" i="1"/>
  <c r="G125" i="1"/>
  <c r="G126" i="1" s="1"/>
  <c r="G127" i="1" s="1"/>
  <c r="G128" i="1" s="1"/>
  <c r="E312" i="1"/>
  <c r="E324" i="1"/>
  <c r="I325" i="1" s="1"/>
  <c r="G308" i="1"/>
  <c r="I186" i="1"/>
  <c r="G299" i="1"/>
  <c r="O298" i="1" s="1"/>
  <c r="C301" i="1"/>
  <c r="G301" i="1" s="1"/>
  <c r="S315" i="1" s="1"/>
  <c r="D303" i="1"/>
  <c r="I212" i="1"/>
  <c r="N171" i="1"/>
  <c r="S317" i="1" l="1"/>
  <c r="O305" i="1"/>
  <c r="D312" i="1"/>
  <c r="G312" i="1" s="1"/>
  <c r="G303" i="1"/>
  <c r="O300" i="1" l="1"/>
  <c r="S316" i="1"/>
  <c r="S319" i="1" l="1"/>
  <c r="O310" i="1"/>
  <c r="T318" i="1" l="1"/>
  <c r="Y318" i="1" s="1"/>
  <c r="T315" i="1"/>
  <c r="T317" i="1"/>
  <c r="T316" i="1"/>
  <c r="Y316" i="1" s="1"/>
  <c r="P308" i="1"/>
  <c r="V308" i="1" s="1"/>
  <c r="P299" i="1"/>
  <c r="V299" i="1" s="1"/>
  <c r="P309" i="1"/>
  <c r="V309" i="1" s="1"/>
  <c r="P302" i="1"/>
  <c r="V301" i="1" s="1"/>
  <c r="P306" i="1"/>
  <c r="V306" i="1" s="1"/>
  <c r="P303" i="1"/>
  <c r="V302" i="1" s="1"/>
  <c r="P307" i="1"/>
  <c r="V307" i="1" s="1"/>
  <c r="P304" i="1"/>
  <c r="P298" i="1"/>
  <c r="P301" i="1"/>
  <c r="P305" i="1"/>
  <c r="V305" i="1" s="1"/>
  <c r="P300" i="1"/>
  <c r="V300" i="1" s="1"/>
  <c r="Y315" i="1" l="1"/>
  <c r="U315" i="1"/>
  <c r="U316" i="1" s="1"/>
  <c r="U317" i="1" s="1"/>
  <c r="U318" i="1" s="1"/>
  <c r="T319" i="1"/>
  <c r="Q298" i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P310" i="1"/>
  <c r="V298" i="1"/>
  <c r="V303" i="1"/>
  <c r="V304" i="1"/>
  <c r="Y317" i="1"/>
</calcChain>
</file>

<file path=xl/sharedStrings.xml><?xml version="1.0" encoding="utf-8"?>
<sst xmlns="http://schemas.openxmlformats.org/spreadsheetml/2006/main" count="1845" uniqueCount="735">
  <si>
    <t>CODIGO</t>
  </si>
  <si>
    <t xml:space="preserve">NOMBRE </t>
  </si>
  <si>
    <t>DESCRIPCION</t>
  </si>
  <si>
    <t>OO1</t>
  </si>
  <si>
    <t xml:space="preserve">CONTABLE </t>
  </si>
  <si>
    <t>Esta aréa es la encargada de clasificar los costos y gastos, además de realizar las compras y pagos a proveedores</t>
  </si>
  <si>
    <t>OO2</t>
  </si>
  <si>
    <t xml:space="preserve">PRODUCCIÓN </t>
  </si>
  <si>
    <t>Es el ará encarga de los insumos y la producción de los productos</t>
  </si>
  <si>
    <t>OO3</t>
  </si>
  <si>
    <t>DISTRIBUCIÓN</t>
  </si>
  <si>
    <t>Es la comercialización y distribución del producto final para llegar al consumidor final</t>
  </si>
  <si>
    <t xml:space="preserve">NOMBRE RECURSO </t>
  </si>
  <si>
    <t>VALOR TOTAL</t>
  </si>
  <si>
    <t>TIPO DE RECURSO</t>
  </si>
  <si>
    <t>PERSONAL</t>
  </si>
  <si>
    <t>Incluye salarios, cesantias,primas,vacaciones,,salud,pensión,parafiscales,,entre otros</t>
  </si>
  <si>
    <t>Directo a los Centros de costos</t>
  </si>
  <si>
    <t xml:space="preserve">MAQUINARIA </t>
  </si>
  <si>
    <t xml:space="preserve">Incluye el gasto de mantenimiento del horno depreciación,mantenimientos,,repuestos </t>
  </si>
  <si>
    <t xml:space="preserve">EQUIPO DE OFICINA </t>
  </si>
  <si>
    <t xml:space="preserve">Incluye la depreciación,mantenimientos,seguros entre otros </t>
  </si>
  <si>
    <t xml:space="preserve">Directo a objetos </t>
  </si>
  <si>
    <t xml:space="preserve">MATERIA PRIMA </t>
  </si>
  <si>
    <t>Incluye las materias primas principales consumidad en la fabricación de los productos</t>
  </si>
  <si>
    <t>ARRENDAMIENTO</t>
  </si>
  <si>
    <t>Incluye el pago de las areas para el proceso de los productos</t>
  </si>
  <si>
    <t>Incluye en distribuir el PF a los diferentes clientes, mantenimiento moto</t>
  </si>
  <si>
    <t>TOTAL RECURSOS</t>
  </si>
  <si>
    <t>COSTOS INDIRECTOS DE FABRICACIÓN-CIF</t>
  </si>
  <si>
    <t xml:space="preserve">ASIGNADO A INDUCTOR CIF </t>
  </si>
  <si>
    <t xml:space="preserve">CIF </t>
  </si>
  <si>
    <t xml:space="preserve">INDUCTOR </t>
  </si>
  <si>
    <t>CANTIDAD</t>
  </si>
  <si>
    <t>VALOR PROMEDIO UNITARIO</t>
  </si>
  <si>
    <t>TOTAL</t>
  </si>
  <si>
    <t xml:space="preserve">LEÑA </t>
  </si>
  <si>
    <t xml:space="preserve">DEPRECIACIÓN </t>
  </si>
  <si>
    <t>VIDA UTIL</t>
  </si>
  <si>
    <t xml:space="preserve">MANTENIMIENTO </t>
  </si>
  <si>
    <t>NUMERO DE VECES</t>
  </si>
  <si>
    <t>TOTAL CIF</t>
  </si>
  <si>
    <t>OBJETO DE COSTOS</t>
  </si>
  <si>
    <t>P1</t>
  </si>
  <si>
    <t xml:space="preserve">PAN ACEMAS </t>
  </si>
  <si>
    <t xml:space="preserve">Pan dulce,redondo </t>
  </si>
  <si>
    <t>P2</t>
  </si>
  <si>
    <t xml:space="preserve">PAN SAL </t>
  </si>
  <si>
    <t xml:space="preserve">pan sal,ovalado </t>
  </si>
  <si>
    <t>P3</t>
  </si>
  <si>
    <t xml:space="preserve">PAN MOLLETE </t>
  </si>
  <si>
    <t>Redondo</t>
  </si>
  <si>
    <t>P4</t>
  </si>
  <si>
    <t>TORTAS</t>
  </si>
  <si>
    <t>presentación de 1 lb</t>
  </si>
  <si>
    <t xml:space="preserve"> DISTRIBUCIÓN DE MATERIA PRIMA </t>
  </si>
  <si>
    <t>Costos por centro de Responsabilidad</t>
  </si>
  <si>
    <t>DRIVERS</t>
  </si>
  <si>
    <t>Personal</t>
  </si>
  <si>
    <t>Valor equipo de Oficina</t>
  </si>
  <si>
    <t>Materia Prima</t>
  </si>
  <si>
    <t>Horno</t>
  </si>
  <si>
    <t>Metros cuadrados-Arrendamiento</t>
  </si>
  <si>
    <t>Mantenimiento Moto</t>
  </si>
  <si>
    <t xml:space="preserve">ÁREAS </t>
  </si>
  <si>
    <t xml:space="preserve">VALOR </t>
  </si>
  <si>
    <t>%</t>
  </si>
  <si>
    <t>Directo</t>
  </si>
  <si>
    <t>Mts2</t>
  </si>
  <si>
    <t>Valor total del recurso</t>
  </si>
  <si>
    <t xml:space="preserve">CENTROS DE COSTOS </t>
  </si>
  <si>
    <t xml:space="preserve">Contable </t>
  </si>
  <si>
    <t>Producción</t>
  </si>
  <si>
    <t>Distribución</t>
  </si>
  <si>
    <t xml:space="preserve">Totales </t>
  </si>
  <si>
    <t xml:space="preserve">COSTO POR PRODUCTO </t>
  </si>
  <si>
    <t>PAN SAL</t>
  </si>
  <si>
    <t>PAN MOLLETTE</t>
  </si>
  <si>
    <t>MATERIA PRIMA</t>
  </si>
  <si>
    <t xml:space="preserve"> FICHA DEL CONSUMO DE LA MATERIA PRIMA POR PRODUCTO DIARIO</t>
  </si>
  <si>
    <t>PAN MOLLETE</t>
  </si>
  <si>
    <t>Valor materia prima o insumo</t>
  </si>
  <si>
    <t xml:space="preserve">Rendimiento </t>
  </si>
  <si>
    <t xml:space="preserve">HARINA </t>
  </si>
  <si>
    <t>45lb</t>
  </si>
  <si>
    <t>25lb</t>
  </si>
  <si>
    <t xml:space="preserve">2500 und </t>
  </si>
  <si>
    <t xml:space="preserve">AZUCAR </t>
  </si>
  <si>
    <t>10lb</t>
  </si>
  <si>
    <t>1lb</t>
  </si>
  <si>
    <t>300und</t>
  </si>
  <si>
    <t>SAL</t>
  </si>
  <si>
    <t>0,5lb</t>
  </si>
  <si>
    <t>200und</t>
  </si>
  <si>
    <t>MANTECA</t>
  </si>
  <si>
    <t>2Lb</t>
  </si>
  <si>
    <t>0,5LB</t>
  </si>
  <si>
    <t>500und</t>
  </si>
  <si>
    <t>MANTEQUILLA</t>
  </si>
  <si>
    <t>2lb</t>
  </si>
  <si>
    <t>800und</t>
  </si>
  <si>
    <t xml:space="preserve">HUEVOS </t>
  </si>
  <si>
    <t>15und</t>
  </si>
  <si>
    <t>20und</t>
  </si>
  <si>
    <t>LEVADURA</t>
  </si>
  <si>
    <t>HARINA FARALLONES</t>
  </si>
  <si>
    <t xml:space="preserve">ESENCIA </t>
  </si>
  <si>
    <t>1ch</t>
  </si>
  <si>
    <t>POLVO PARA HORNEAR</t>
  </si>
  <si>
    <t>20gr</t>
  </si>
  <si>
    <t>PASAS</t>
  </si>
  <si>
    <t>250gr</t>
  </si>
  <si>
    <t>ALIÑADO GRASO</t>
  </si>
  <si>
    <t xml:space="preserve">Unidades producidas </t>
  </si>
  <si>
    <t>7200 UND</t>
  </si>
  <si>
    <t>3467 UND</t>
  </si>
  <si>
    <t>2000 UND</t>
  </si>
  <si>
    <t xml:space="preserve"> ANALISIS CUANTITATIVO DE LOS RECURSOS </t>
  </si>
  <si>
    <t>RECURSO</t>
  </si>
  <si>
    <t>COSTO TOTAL</t>
  </si>
  <si>
    <t>PESO DEL RECURSO %</t>
  </si>
  <si>
    <t>% ACUMULADO</t>
  </si>
  <si>
    <t>AUXILIAR ADMINISTRATIVO</t>
  </si>
  <si>
    <t>OPERARIA 1</t>
  </si>
  <si>
    <t>OPERARIA 2</t>
  </si>
  <si>
    <t>DOMICILIARIO</t>
  </si>
  <si>
    <t>Total</t>
  </si>
  <si>
    <t>ANALASIS CUANTITATIVO DE LOS CENTROS DE RESPONSABILIDADES</t>
  </si>
  <si>
    <t xml:space="preserve">CENTRO DE RESPONSABILIDADES </t>
  </si>
  <si>
    <t>%CENTRO DE COSTO</t>
  </si>
  <si>
    <t xml:space="preserve">%ACUMULADO </t>
  </si>
  <si>
    <t>TOTALES</t>
  </si>
  <si>
    <t>ANALISIS CUANTITATIVO DE LOS CENTROS DE RESPONSABILIDADES (CON MATERIA PRIMA)</t>
  </si>
  <si>
    <t xml:space="preserve"> CENTRO DE RESPONSABILIDAD  CONTABILIDAD</t>
  </si>
  <si>
    <t>ACTIVIDADES</t>
  </si>
  <si>
    <t>CARGOS</t>
  </si>
  <si>
    <t xml:space="preserve">UTILIZACIÓN DE RECURSOS </t>
  </si>
  <si>
    <t xml:space="preserve">Equipo de oficina </t>
  </si>
  <si>
    <t xml:space="preserve">Equipo de computo </t>
  </si>
  <si>
    <t>Metros Cuadrados-Arrendamiento</t>
  </si>
  <si>
    <t xml:space="preserve">PESAR </t>
  </si>
  <si>
    <t>40MIN</t>
  </si>
  <si>
    <t>GRAMAJE DE INGREDIENTES</t>
  </si>
  <si>
    <t>30MIN</t>
  </si>
  <si>
    <t xml:space="preserve">MEZCLA Y PREPARACIÓN </t>
  </si>
  <si>
    <t xml:space="preserve">Clasificación de los costos y gastos </t>
  </si>
  <si>
    <t>X</t>
  </si>
  <si>
    <t>AMASADO</t>
  </si>
  <si>
    <t>45MIN</t>
  </si>
  <si>
    <t xml:space="preserve">Pago a provedores </t>
  </si>
  <si>
    <t>CORTE</t>
  </si>
  <si>
    <t>15MIN</t>
  </si>
  <si>
    <t>TIEMPO TOTAL DE ACTIVIDADES</t>
  </si>
  <si>
    <t>DAR FORMA AL PAN</t>
  </si>
  <si>
    <t>20MIN</t>
  </si>
  <si>
    <t xml:space="preserve">PREPARAR EL HORNO </t>
  </si>
  <si>
    <t xml:space="preserve">CALDEADO </t>
  </si>
  <si>
    <t xml:space="preserve"> CENTRO DE RESPONSABILIDAD  PRODUCCIÓN</t>
  </si>
  <si>
    <t>COCCIÓN</t>
  </si>
  <si>
    <t>CALCULO DRIVERS</t>
  </si>
  <si>
    <t xml:space="preserve">ARRENDAMIENTO </t>
  </si>
  <si>
    <t>MOTP</t>
  </si>
  <si>
    <t>ETC ARRENDAMIENTO</t>
  </si>
  <si>
    <t>RTP EQUIPO COMPUTO</t>
  </si>
  <si>
    <t>RTP  HORNO</t>
  </si>
  <si>
    <t>PRODUCCIÓN</t>
  </si>
  <si>
    <t>DISTRIBUCCIÓN</t>
  </si>
  <si>
    <t>DISTRIBUCIÓN-MANTENIMIENTO</t>
  </si>
  <si>
    <t>CALCULO ETC ARRENDAMIEN TO</t>
  </si>
  <si>
    <t>CARGOS/TIEMPO DE DEDICACIÓN</t>
  </si>
  <si>
    <t>COSTO TOTAL A DISTRIBUIR</t>
  </si>
  <si>
    <t>ACTIVIDADES BASICAS DE PRODUCCIÓN</t>
  </si>
  <si>
    <t xml:space="preserve">TIEMPO TOTAL POR ACTIVIDAD </t>
  </si>
  <si>
    <t xml:space="preserve">ACTIVIDADES BASICAS DE CONTABLE </t>
  </si>
  <si>
    <t xml:space="preserve">AUXILIAR CONTABLE </t>
  </si>
  <si>
    <t xml:space="preserve">TOTALES </t>
  </si>
  <si>
    <t>ACTIVIDADES BASICAS DE DISTRIBUCIÓN</t>
  </si>
  <si>
    <t>Comercialización y distribucción del PF</t>
  </si>
  <si>
    <t>CALCULO RTP HORNO</t>
  </si>
  <si>
    <t>RTP HORNO</t>
  </si>
  <si>
    <t>CALCULO RTP EQUIPO DE OFICINA</t>
  </si>
  <si>
    <t>RTP EQUIPO DE OFICINA</t>
  </si>
  <si>
    <t>CALCULO RTP MANTENIMIENTO DISTRIBUCIÓN</t>
  </si>
  <si>
    <t>RTP MANTENIMIENTO DISTRIBUCIÓN</t>
  </si>
  <si>
    <t xml:space="preserve"> CENTRO DE RESPONSABILIDAD  DISTRIBUCCIÓN</t>
  </si>
  <si>
    <t>MANTENIMIENTO</t>
  </si>
  <si>
    <t>PAN ACEMAS</t>
  </si>
  <si>
    <t>Unidades producidas</t>
  </si>
  <si>
    <t>Tiempo de mezclado(por producto)</t>
  </si>
  <si>
    <t>45min</t>
  </si>
  <si>
    <t>30min</t>
  </si>
  <si>
    <t>20min</t>
  </si>
  <si>
    <t>Tiempo de corte (por producto)</t>
  </si>
  <si>
    <t>15min</t>
  </si>
  <si>
    <t>Tiempo de preparación</t>
  </si>
  <si>
    <t>50min</t>
  </si>
  <si>
    <t>40min</t>
  </si>
  <si>
    <t>Clientes por producto</t>
  </si>
  <si>
    <t xml:space="preserve">Unidades vendidas </t>
  </si>
  <si>
    <t>División de masa</t>
  </si>
  <si>
    <t>30mim</t>
  </si>
  <si>
    <t>Precio de venta</t>
  </si>
  <si>
    <t># de panes</t>
  </si>
  <si>
    <t># de producto</t>
  </si>
  <si>
    <t>Tiempo de mezclado</t>
  </si>
  <si>
    <t xml:space="preserve">Tiempo de corte </t>
  </si>
  <si>
    <t xml:space="preserve">Ingresos </t>
  </si>
  <si>
    <t>Minutos trabajadas por empleado</t>
  </si>
  <si>
    <t>Metros cuadrados por alquiler</t>
  </si>
  <si>
    <t>Costo promedio de materias primas e insumos por producto</t>
  </si>
  <si>
    <t>VALOR</t>
  </si>
  <si>
    <t xml:space="preserve">% ACUMULADO </t>
  </si>
  <si>
    <t>TIPO DE ACTIVIDAD</t>
  </si>
  <si>
    <t>APOYO</t>
  </si>
  <si>
    <t>CLAVE</t>
  </si>
  <si>
    <t xml:space="preserve">CLAVE </t>
  </si>
  <si>
    <t>TOTA.L</t>
  </si>
  <si>
    <t>CARGO</t>
  </si>
  <si>
    <t xml:space="preserve">SALARIO </t>
  </si>
  <si>
    <t>PESO PORCENTUAL</t>
  </si>
  <si>
    <t>TIEMPO DEDICACIÓN</t>
  </si>
  <si>
    <t>TIEMPO DEDICADO ACTIVIDAD</t>
  </si>
  <si>
    <t>PESO PORCENTUAL OPERARIA 1</t>
  </si>
  <si>
    <t>TIEMPO DEDICACIÓN ACTIVIDAD</t>
  </si>
  <si>
    <t>PESO PORCENTUAL OPERARIA 2</t>
  </si>
  <si>
    <t>MOTP PRODUCCIÓN</t>
  </si>
  <si>
    <t>AUXILIAR CONTABLE</t>
  </si>
  <si>
    <t>PESO PORCENTUAL AUXILIAR CONTABLE</t>
  </si>
  <si>
    <t>MOTP CONTABLE</t>
  </si>
  <si>
    <t>PESO PORCENTUAL DOMICILIARIO</t>
  </si>
  <si>
    <t>MOTP DOMICILIARIO</t>
  </si>
  <si>
    <t xml:space="preserve">RECURSO </t>
  </si>
  <si>
    <t>EQUIPO DE OFICINA</t>
  </si>
  <si>
    <t>EDIFICIO</t>
  </si>
  <si>
    <t>MANTENIMIENTO-DISTRIBUCCIÓN</t>
  </si>
  <si>
    <t xml:space="preserve">DRIVER </t>
  </si>
  <si>
    <t>ETC EDIFICIO</t>
  </si>
  <si>
    <t xml:space="preserve">RTP MANTENIMIENTO </t>
  </si>
  <si>
    <t>CONTABLE</t>
  </si>
  <si>
    <t xml:space="preserve">DISTRIBUCIÓN </t>
  </si>
  <si>
    <t xml:space="preserve">TOTAL </t>
  </si>
  <si>
    <t>RESULTADOS</t>
  </si>
  <si>
    <t>SUMA DE ELEMENTOS DEL COSTO PARA CALCULAR EL COSTO UNITARIO</t>
  </si>
  <si>
    <t>TOTAL COSTOS M.O Y CIF</t>
  </si>
  <si>
    <t>TOTAL COSTO M.P INSUMOS</t>
  </si>
  <si>
    <t>TOTAL COSTO DE VENTA</t>
  </si>
  <si>
    <t>SUMA DE ELEMENTOS DEL COSTO PARA CALCULAR EL COSTO TOTAL</t>
  </si>
  <si>
    <t xml:space="preserve">OTROS COSTOS </t>
  </si>
  <si>
    <t>OTROS COSTOS</t>
  </si>
  <si>
    <t xml:space="preserve"> ANALISIS DEL COSTO POR CENTRO DE RESPONSABILIDAD DETALLADO</t>
  </si>
  <si>
    <t xml:space="preserve"> Calculo de consumos de materia prima e insumo por producto mensuales </t>
  </si>
  <si>
    <t>PANADERIA ARTESANAL SEÑORA LOLA</t>
  </si>
  <si>
    <t>NIT:25684000</t>
  </si>
  <si>
    <t>SILVIA CAUCA</t>
  </si>
  <si>
    <t>TEL. 316204750</t>
  </si>
  <si>
    <t>E-mail: panaderiartesanalseñoralola@gmail.com</t>
  </si>
  <si>
    <t>MES DE JULIO</t>
  </si>
  <si>
    <t>AGOSTO</t>
  </si>
  <si>
    <t>DETALLE</t>
  </si>
  <si>
    <t>MOVIMIENTO</t>
  </si>
  <si>
    <t>SALDO</t>
  </si>
  <si>
    <t>CIERRE</t>
  </si>
  <si>
    <t>BALANCE</t>
  </si>
  <si>
    <t>CAJA GENERAL</t>
  </si>
  <si>
    <t>MONEDA NACIONAL</t>
  </si>
  <si>
    <t>PRODUCTOS EN PROCESO</t>
  </si>
  <si>
    <t>DETERIORO</t>
  </si>
  <si>
    <t>HORNO</t>
  </si>
  <si>
    <t>LATAS</t>
  </si>
  <si>
    <t>MOTOCICLETA</t>
  </si>
  <si>
    <t>RETENCION EN LA FUENTE</t>
  </si>
  <si>
    <t>PROVEEDORES NACIONALES</t>
  </si>
  <si>
    <t>PROVEEDOR ARRENDAMIENTO</t>
  </si>
  <si>
    <t>IMPUESTO DEL VALOR AGREGADO</t>
  </si>
  <si>
    <t>CAPITAL SOCIAL</t>
  </si>
  <si>
    <t>VENTA DE PAN ACEMAS</t>
  </si>
  <si>
    <t>VENTA DE PAN SAL</t>
  </si>
  <si>
    <t>VENTA DE PAN MOLLETE</t>
  </si>
  <si>
    <t>VENTA DE TORTAS</t>
  </si>
  <si>
    <t>ELABORACION PRODUCTO PARA PANADERIA</t>
  </si>
  <si>
    <t>COSTO DE VENTAS PRODUCCIÓN-COMERCIO AL POR MAYOR Y AL POR MENOR</t>
  </si>
  <si>
    <t>COSTO DE VENTAS DISTRIBUCION-COMERCIO AL POR MAYOR Y POR MENOR</t>
  </si>
  <si>
    <t>SUMAS IGUALES</t>
  </si>
  <si>
    <t>factura Equipo</t>
  </si>
  <si>
    <t>subtotal</t>
  </si>
  <si>
    <t>iva</t>
  </si>
  <si>
    <t>retefuente</t>
  </si>
  <si>
    <t>CONTABILIZACIÓN</t>
  </si>
  <si>
    <t>CUENTA</t>
  </si>
  <si>
    <t>la contabilidad la realizamos por el decreto 2420 anexo 3 para micro empresas</t>
  </si>
  <si>
    <t>Iva</t>
  </si>
  <si>
    <t>R.F.T.R</t>
  </si>
  <si>
    <t xml:space="preserve">activos </t>
  </si>
  <si>
    <t>Proveedores</t>
  </si>
  <si>
    <t>ingresos</t>
  </si>
  <si>
    <t>sumas iguales</t>
  </si>
  <si>
    <t>D// Registro de compra porpiedad, planta y equIpo COMPUTO PARA ADMINISTRACIÓN</t>
  </si>
  <si>
    <t>Caja general</t>
  </si>
  <si>
    <t>moneda nacional</t>
  </si>
  <si>
    <t>D// constitución de caja</t>
  </si>
  <si>
    <t>factura  horno</t>
  </si>
  <si>
    <t>D// Registro de compra porpiedad, planta y equIpo horno</t>
  </si>
  <si>
    <t xml:space="preserve">MOTOCICLETA </t>
  </si>
  <si>
    <t>D// Registro de compra porpiedad, flota y transporte MOTO</t>
  </si>
  <si>
    <t>Latas</t>
  </si>
  <si>
    <t>D// Registro de compra porpiedad, planta y equIpo 10 latas para hornear</t>
  </si>
  <si>
    <t>elaboracion de productos de panaderiaa</t>
  </si>
  <si>
    <t>factura  harina</t>
  </si>
  <si>
    <t xml:space="preserve">materia prima harina </t>
  </si>
  <si>
    <t>Iva descontable 5%</t>
  </si>
  <si>
    <t>D// Registro de compra  de 10 blts de harina</t>
  </si>
  <si>
    <t>materia prima levadura</t>
  </si>
  <si>
    <t xml:space="preserve">Iva descontable </t>
  </si>
  <si>
    <t>Proveedores Fenix pan</t>
  </si>
  <si>
    <t>D// Registro de compra  de  6 lbs de levadura</t>
  </si>
  <si>
    <t>canti</t>
  </si>
  <si>
    <t>materia prima aceite</t>
  </si>
  <si>
    <t>Iva descontable 19%</t>
  </si>
  <si>
    <t>aceite solido</t>
  </si>
  <si>
    <t>Proveedores Safra</t>
  </si>
  <si>
    <t>aliñado</t>
  </si>
  <si>
    <t>sal refisal</t>
  </si>
  <si>
    <t>D// Registro de compra aceite solidoo</t>
  </si>
  <si>
    <t>azucar quintal</t>
  </si>
  <si>
    <t>materia prima aliñado</t>
  </si>
  <si>
    <t>D// Registro de compra de aliñado</t>
  </si>
  <si>
    <t>materia prima sal</t>
  </si>
  <si>
    <t>D// Registro de compra sal excenta de iva</t>
  </si>
  <si>
    <t xml:space="preserve">azucar a granel  </t>
  </si>
  <si>
    <t>materia prima azucar</t>
  </si>
  <si>
    <t>D// Registro de compra de quintal de azucar</t>
  </si>
  <si>
    <t>Depreciación acumulada</t>
  </si>
  <si>
    <t>depreciación equipo de Oficina</t>
  </si>
  <si>
    <t>D// Se registra depreciación mensual de Equipo de computo.</t>
  </si>
  <si>
    <t>depreciación MOTOCICLETA</t>
  </si>
  <si>
    <t>D// Se registra depreciación mensual de motocicleta</t>
  </si>
  <si>
    <t>depreciación horno</t>
  </si>
  <si>
    <t>D// Se registra depreciación mensual de horno</t>
  </si>
  <si>
    <t xml:space="preserve">PROVEEDOR </t>
  </si>
  <si>
    <t>D// Registro pago canon de arrendamiento mes de julio</t>
  </si>
  <si>
    <t>materia prima mantequilla</t>
  </si>
  <si>
    <t>Proveedores Julieth</t>
  </si>
  <si>
    <t>D// Registro de compra de 7 lbs de mantequilla</t>
  </si>
  <si>
    <t>COSTO DE VENTA PRODUCCION</t>
  </si>
  <si>
    <t>D// Registro de venta mensual pan acemas</t>
  </si>
  <si>
    <t xml:space="preserve">D// Registro de venta mensual de pan de sal </t>
  </si>
  <si>
    <t>D//Registro de mensual pan de Mollete</t>
  </si>
  <si>
    <t>D//Registro mensual de venta tortas</t>
  </si>
  <si>
    <t>materia prima aceite solido</t>
  </si>
  <si>
    <t>D// Registro de compra de aceite solidoo</t>
  </si>
  <si>
    <t>D// Registro de compra de azucar a granel</t>
  </si>
  <si>
    <t>D// Registro pago canon de arrendamiento mes de AGOSTO</t>
  </si>
  <si>
    <t>D// Registro de compra  de 15 blts de harina</t>
  </si>
  <si>
    <t>D// Registro de compra  de  3 lbs de levadura</t>
  </si>
  <si>
    <t>GASTOS SEMANALES</t>
  </si>
  <si>
    <t xml:space="preserve">INGRESOS </t>
  </si>
  <si>
    <t>CANT.</t>
  </si>
  <si>
    <t>UND</t>
  </si>
  <si>
    <t>INGRESOS</t>
  </si>
  <si>
    <t xml:space="preserve">INSUMOS </t>
  </si>
  <si>
    <t>CANTIDADES</t>
  </si>
  <si>
    <t xml:space="preserve">GASTOS </t>
  </si>
  <si>
    <t>MENSUAL</t>
  </si>
  <si>
    <t>GASTO MENSUAL</t>
  </si>
  <si>
    <t>PRESENTACIÓN</t>
  </si>
  <si>
    <t>VALOR UNITARIO</t>
  </si>
  <si>
    <t xml:space="preserve">GASTOS LUNES </t>
  </si>
  <si>
    <t xml:space="preserve">GASTOS MARTES </t>
  </si>
  <si>
    <t>GASTOS JUEVES</t>
  </si>
  <si>
    <t>GASTOS VIERNES</t>
  </si>
  <si>
    <t xml:space="preserve">LUNES </t>
  </si>
  <si>
    <t>LBS</t>
  </si>
  <si>
    <t>MARTES</t>
  </si>
  <si>
    <t xml:space="preserve">JUEVES </t>
  </si>
  <si>
    <t xml:space="preserve">LEVADURA </t>
  </si>
  <si>
    <t xml:space="preserve">VIERNES </t>
  </si>
  <si>
    <t xml:space="preserve">MANTEQUILLA </t>
  </si>
  <si>
    <t xml:space="preserve">LBS </t>
  </si>
  <si>
    <t xml:space="preserve">MANTECA </t>
  </si>
  <si>
    <t>PAN ACEMAS PRODUCCIÓN MENSUAL</t>
  </si>
  <si>
    <t>Gastos semanales</t>
  </si>
  <si>
    <t>Gastos mensuales</t>
  </si>
  <si>
    <t xml:space="preserve">PRODUCCIÓN MENSUAL </t>
  </si>
  <si>
    <t xml:space="preserve">PRODUCTO </t>
  </si>
  <si>
    <t xml:space="preserve">Unidades Producidas/mes </t>
  </si>
  <si>
    <t>1600 UND</t>
  </si>
  <si>
    <t>CONTABILIDAD</t>
  </si>
  <si>
    <t>AUXILIAR</t>
  </si>
  <si>
    <t>ELEMENTOS DEL COSTO EN LA PRODUCCION</t>
  </si>
  <si>
    <t>DÍAS DEL MES</t>
  </si>
  <si>
    <t>MENOS DÍAS O DOMINICALES</t>
  </si>
  <si>
    <t>PRODUCCION</t>
  </si>
  <si>
    <t>MENOS SABADOS</t>
  </si>
  <si>
    <t>Menos Miercoles</t>
  </si>
  <si>
    <t>OPERARIO 1</t>
  </si>
  <si>
    <t>TOTAL DÍAS</t>
  </si>
  <si>
    <t>DIAS LABORALES</t>
  </si>
  <si>
    <t>OPERARIO 2</t>
  </si>
  <si>
    <t>DIAS LABORADOS</t>
  </si>
  <si>
    <t>VALOR DIA</t>
  </si>
  <si>
    <t>DEDUCCIONES</t>
  </si>
  <si>
    <t>TOTAL DIAS LABORADOS</t>
  </si>
  <si>
    <t>BASE PARA CALCULOS</t>
  </si>
  <si>
    <t>T1</t>
  </si>
  <si>
    <t>T2</t>
  </si>
  <si>
    <t>T3</t>
  </si>
  <si>
    <t>T4</t>
  </si>
  <si>
    <t>MANO DE OBRA</t>
  </si>
  <si>
    <t xml:space="preserve">GASTO ANUAL DEPRECIACIÓN </t>
  </si>
  <si>
    <t xml:space="preserve">VALOR COMPRA </t>
  </si>
  <si>
    <t>VALOR SALVAMENTO</t>
  </si>
  <si>
    <t>EQUIPO DE COMPUTO</t>
  </si>
  <si>
    <t>AÑOS</t>
  </si>
  <si>
    <t xml:space="preserve">VALOR EN LIBROS </t>
  </si>
  <si>
    <t>GASTO DEP ANUAL</t>
  </si>
  <si>
    <t>GASTO DEP MENSUAL</t>
  </si>
  <si>
    <t>AÑO 1</t>
  </si>
  <si>
    <t>AÑO 2</t>
  </si>
  <si>
    <t>AÑO 3</t>
  </si>
  <si>
    <t>AÑO 4</t>
  </si>
  <si>
    <t>AÑO 5</t>
  </si>
  <si>
    <t>|</t>
  </si>
  <si>
    <t>AÑO 6</t>
  </si>
  <si>
    <t>AÑO 7</t>
  </si>
  <si>
    <t>AÑO 8</t>
  </si>
  <si>
    <t>AÑO 9</t>
  </si>
  <si>
    <t>AÑO 10</t>
  </si>
  <si>
    <t>MOTO</t>
  </si>
  <si>
    <t>COSTEO BASADO EN ACTIVIDADES PANADERIA ARTESANAL SEÑORA LOLA</t>
  </si>
  <si>
    <t>NOMBRE</t>
  </si>
  <si>
    <t>GREGORIO VALENZUELA JIMENEZ</t>
  </si>
  <si>
    <t>DEPENDENCIA</t>
  </si>
  <si>
    <t>FECHA</t>
  </si>
  <si>
    <t>JULIO 15 DE 2024</t>
  </si>
  <si>
    <t>EFICENCIA</t>
  </si>
  <si>
    <t>CODIGO DEL RECURSO</t>
  </si>
  <si>
    <t>NOMBRE DE ACTIVIDAD</t>
  </si>
  <si>
    <t>TIEMPO EN %</t>
  </si>
  <si>
    <t xml:space="preserve">PUNTAJE </t>
  </si>
  <si>
    <t xml:space="preserve">OBSERVACIONES </t>
  </si>
  <si>
    <t>TIEMPO EN MIN</t>
  </si>
  <si>
    <t xml:space="preserve">DISTRIBUCCÓN </t>
  </si>
  <si>
    <t>Comercializar y distribuir cada uno de los producto hasta el consumido final</t>
  </si>
  <si>
    <t>120MIN</t>
  </si>
  <si>
    <t>SANDRA  PAZ RODRIGUEZ</t>
  </si>
  <si>
    <t>Se realiza la clasificación de la MP de acuerdo al PF que se vaya hacer</t>
  </si>
  <si>
    <t>60min</t>
  </si>
  <si>
    <t>Alistar los insumos necesarios para hacer el PF</t>
  </si>
  <si>
    <t xml:space="preserve">Mezclar cada uno de los insumos necesarios </t>
  </si>
  <si>
    <t>Dar consistencia a la masa para lograr el PF</t>
  </si>
  <si>
    <t>Calcular los unidades requeridas del PF</t>
  </si>
  <si>
    <t xml:space="preserve">Realizar el corte de acuerdo al producto </t>
  </si>
  <si>
    <t xml:space="preserve">Organizar la leña que utilizaremos para la cocción </t>
  </si>
  <si>
    <t>Preparar el horno para que tenga una cocción el pf</t>
  </si>
  <si>
    <t>Colocar el PF y esperar 20 minutos para  que este listo</t>
  </si>
  <si>
    <t>8horas</t>
  </si>
  <si>
    <t xml:space="preserve">RAQUEL MOSQUERA   </t>
  </si>
  <si>
    <t>x</t>
  </si>
  <si>
    <t>FILOMENA VIAFARA</t>
  </si>
  <si>
    <t>DIRECCIONADORES DE CONSUMOS</t>
  </si>
  <si>
    <t># de Mts ocupados por cada Centro de Costo</t>
  </si>
  <si>
    <t xml:space="preserve"># de viajes recorridos </t>
  </si>
  <si>
    <t>Consumo promedio de materia prima por producto</t>
  </si>
  <si>
    <t xml:space="preserve"># de unidades producidas </t>
  </si>
  <si>
    <t>CENTRO DE COSTOS</t>
  </si>
  <si>
    <t>% DE PARTICPACIÓN</t>
  </si>
  <si>
    <t xml:space="preserve"> ANALISIS CUANTITATIVO DEL COSTO POR ACTIVIDADES</t>
  </si>
  <si>
    <t>#</t>
  </si>
  <si>
    <t>Nombre</t>
  </si>
  <si>
    <t>Apellido</t>
  </si>
  <si>
    <t>Cedula</t>
  </si>
  <si>
    <t>Sueldo</t>
  </si>
  <si>
    <t>Total devengado</t>
  </si>
  <si>
    <t>Eps</t>
  </si>
  <si>
    <t>Afp</t>
  </si>
  <si>
    <t>Deducciones</t>
  </si>
  <si>
    <t>Total a pagar</t>
  </si>
  <si>
    <t>Raquel</t>
  </si>
  <si>
    <t xml:space="preserve">Mosquera </t>
  </si>
  <si>
    <t xml:space="preserve">Filomena </t>
  </si>
  <si>
    <t>Viafara</t>
  </si>
  <si>
    <t xml:space="preserve">Sandra </t>
  </si>
  <si>
    <t>Paz Rodriguez</t>
  </si>
  <si>
    <t>Totales</t>
  </si>
  <si>
    <t>Aux de transporte</t>
  </si>
  <si>
    <t xml:space="preserve"> Harina</t>
  </si>
  <si>
    <t xml:space="preserve"> Levadura</t>
  </si>
  <si>
    <t>Aceite Solido</t>
  </si>
  <si>
    <t xml:space="preserve"> Pan Aliñado</t>
  </si>
  <si>
    <t>Azucar</t>
  </si>
  <si>
    <t>Mantequilla</t>
  </si>
  <si>
    <t>Sal</t>
  </si>
  <si>
    <t>Iva 5%</t>
  </si>
  <si>
    <t xml:space="preserve">Total </t>
  </si>
  <si>
    <t xml:space="preserve">Base </t>
  </si>
  <si>
    <t>Tiempo en %</t>
  </si>
  <si>
    <t>tiempo en %</t>
  </si>
  <si>
    <t>Operaria 1</t>
  </si>
  <si>
    <t>Operaria 2</t>
  </si>
  <si>
    <t>PROCESO</t>
  </si>
  <si>
    <t>Tipo</t>
  </si>
  <si>
    <t xml:space="preserve">Gestión Administrativa </t>
  </si>
  <si>
    <t>Apoyo</t>
  </si>
  <si>
    <t xml:space="preserve">Gesión  Inventario </t>
  </si>
  <si>
    <t xml:space="preserve">Ventas </t>
  </si>
  <si>
    <t>Estrategico</t>
  </si>
  <si>
    <t>Clave</t>
  </si>
  <si>
    <t xml:space="preserve">Control de Caliudad </t>
  </si>
  <si>
    <t>TIPO PROCESO</t>
  </si>
  <si>
    <t>Gestión Administrativa</t>
  </si>
  <si>
    <t>Gestión de Inventario</t>
  </si>
  <si>
    <t>Control de Calidad</t>
  </si>
  <si>
    <t>Ventas</t>
  </si>
  <si>
    <t>Analisis cuantitativo de costos por procesos</t>
  </si>
  <si>
    <t>Contable</t>
  </si>
  <si>
    <t>Distirbución</t>
  </si>
  <si>
    <t>Drivers</t>
  </si>
  <si>
    <t>Áreas</t>
  </si>
  <si>
    <t>Centro de costos</t>
  </si>
  <si>
    <t xml:space="preserve">Materia Prima Harina </t>
  </si>
  <si>
    <t xml:space="preserve">Materia Prima Levadura </t>
  </si>
  <si>
    <t xml:space="preserve">Materia Prima Aceite Solido </t>
  </si>
  <si>
    <t>Materia Prima Sal</t>
  </si>
  <si>
    <t xml:space="preserve">Materia Prima Azucar </t>
  </si>
  <si>
    <t xml:space="preserve">Materia Prima Aliñado </t>
  </si>
  <si>
    <t xml:space="preserve">Materia Prima Mantequilla </t>
  </si>
  <si>
    <t xml:space="preserve">lbs </t>
  </si>
  <si>
    <t xml:space="preserve">Salario por pagar </t>
  </si>
  <si>
    <t>Aporte a EPS</t>
  </si>
  <si>
    <t>ARL</t>
  </si>
  <si>
    <t>Fondo de Pensión</t>
  </si>
  <si>
    <t>Intereses Cesantias</t>
  </si>
  <si>
    <t xml:space="preserve">Vacaciones </t>
  </si>
  <si>
    <t xml:space="preserve">Prima de servicios </t>
  </si>
  <si>
    <t xml:space="preserve">Sueldos </t>
  </si>
  <si>
    <t xml:space="preserve">Cesantias </t>
  </si>
  <si>
    <t>Aportes a EPS</t>
  </si>
  <si>
    <t xml:space="preserve">Aporte Pensión </t>
  </si>
  <si>
    <t xml:space="preserve">Sumas Iguales </t>
  </si>
  <si>
    <t>D//Registro causación de Auxiliar Contable mes de Julio</t>
  </si>
  <si>
    <t>D//Registro causación de Operario Producción N°1 mes de Julio</t>
  </si>
  <si>
    <t>236505.01</t>
  </si>
  <si>
    <t>237005.01</t>
  </si>
  <si>
    <t>237006.01</t>
  </si>
  <si>
    <t>238030.01</t>
  </si>
  <si>
    <t>261010.01</t>
  </si>
  <si>
    <t>261015.01</t>
  </si>
  <si>
    <t>261020.01</t>
  </si>
  <si>
    <t>D//Registro causación de Operario Producción N°2 mes de Julio</t>
  </si>
  <si>
    <t xml:space="preserve">SALARIO POR PAGAR </t>
  </si>
  <si>
    <t xml:space="preserve">APORTE A EPS </t>
  </si>
  <si>
    <t>FONDO DE PENSIÓN</t>
  </si>
  <si>
    <t xml:space="preserve">INTERESES DE CESANTIAS </t>
  </si>
  <si>
    <t xml:space="preserve">VACACIONES </t>
  </si>
  <si>
    <t xml:space="preserve">PRIMA DE SERVICIOS </t>
  </si>
  <si>
    <t xml:space="preserve">AUXILIO DE TRANSPORTE </t>
  </si>
  <si>
    <t xml:space="preserve">CESANTIAS </t>
  </si>
  <si>
    <t xml:space="preserve">ARL </t>
  </si>
  <si>
    <t>APORTE PENSIÓN</t>
  </si>
  <si>
    <t>CÓDIGO</t>
  </si>
  <si>
    <t>DÉBITO</t>
  </si>
  <si>
    <t>CRÉDITO</t>
  </si>
  <si>
    <t>Administración</t>
  </si>
  <si>
    <t>Otros Gastos</t>
  </si>
  <si>
    <t>M.P</t>
  </si>
  <si>
    <t>Costo Total</t>
  </si>
  <si>
    <t>Q=</t>
  </si>
  <si>
    <t>Proveedores Granja Zeus</t>
  </si>
  <si>
    <t>D// Registro de compra de 32 panales de huevos de granja</t>
  </si>
  <si>
    <t xml:space="preserve">materia prima leña </t>
  </si>
  <si>
    <t>materia prima Huevos</t>
  </si>
  <si>
    <t>D// Registro de compra de 15 ataos de leña</t>
  </si>
  <si>
    <t>Proveedores Madera Sin fin</t>
  </si>
  <si>
    <t xml:space="preserve">Materia Prima Huevos </t>
  </si>
  <si>
    <t xml:space="preserve">Materia Prima Leña </t>
  </si>
  <si>
    <t>DISTRIBUCIÓN VENTA</t>
  </si>
  <si>
    <t>Gregorio</t>
  </si>
  <si>
    <t>Valenzuela Jimenez</t>
  </si>
  <si>
    <t>Auxilio de Transporte</t>
  </si>
  <si>
    <t xml:space="preserve">Auxilio de Transporte </t>
  </si>
  <si>
    <t>Salario Domiciliario</t>
  </si>
  <si>
    <t>D//Registro causación de Domiciliario mes de Julio</t>
  </si>
  <si>
    <t>APORTE FONDO PENSIÓN</t>
  </si>
  <si>
    <t>COSTO MANO DE OBRA PRODUCIÓN</t>
  </si>
  <si>
    <t>GASTO DE VENTA DOMICILIARIO</t>
  </si>
  <si>
    <t xml:space="preserve">Huevos </t>
  </si>
  <si>
    <t>Leña</t>
  </si>
  <si>
    <t>Iva 19%</t>
  </si>
  <si>
    <t xml:space="preserve">COSTO M.P MENSUAL </t>
  </si>
  <si>
    <t xml:space="preserve">TORTAS </t>
  </si>
  <si>
    <t>COSTO MATERIA PRIMA PAN ACEMAS</t>
  </si>
  <si>
    <t>COSTO MATERIA PRIMA PAN SAL</t>
  </si>
  <si>
    <t>COSTO MATERIA PRIMA PAN MOLLETE</t>
  </si>
  <si>
    <t>COSTO MATERIA PRIMA TORTAS</t>
  </si>
  <si>
    <t>NIT 34546791-1</t>
  </si>
  <si>
    <t>Silvia Cauca Colombia</t>
  </si>
  <si>
    <t>ESTADO DE COSTOS DE PRESTACIÓN DE SERVICIOS</t>
  </si>
  <si>
    <t>PERIODO EVALUADO: FECHA INICIAL: 01/07/2024</t>
  </si>
  <si>
    <t xml:space="preserve">FECHA FINAL: </t>
  </si>
  <si>
    <t>71 - Materia Prima</t>
  </si>
  <si>
    <t>(=)</t>
  </si>
  <si>
    <t>Costo de la Materia Prima Directa</t>
  </si>
  <si>
    <t>$</t>
  </si>
  <si>
    <t>72 - Mano de Obra</t>
  </si>
  <si>
    <t>Costo Sueldo y Salarios</t>
  </si>
  <si>
    <t>73 - Costos Indirectos de fabricación</t>
  </si>
  <si>
    <t>Costos Indirectos de Fabricación</t>
  </si>
  <si>
    <t>Costo del Periodo</t>
  </si>
  <si>
    <t>(+)</t>
  </si>
  <si>
    <t>Inventario Inicial Productos en Proceso</t>
  </si>
  <si>
    <t>Costo Total de Productos en Proceso</t>
  </si>
  <si>
    <t>(-)</t>
  </si>
  <si>
    <t>Inventario Final Productos en Proceso</t>
  </si>
  <si>
    <t>Costo de Productos Terminados</t>
  </si>
  <si>
    <t>Inventario Inicial Producto Terminado</t>
  </si>
  <si>
    <t xml:space="preserve">Costo de la Mercancia Disponible </t>
  </si>
  <si>
    <t>Inventario Final Producto Terminado</t>
  </si>
  <si>
    <t>COSTO DE VENTA Y OPERACIONES</t>
  </si>
  <si>
    <t>Sandra Milena Salazar</t>
  </si>
  <si>
    <t xml:space="preserve">Contador Publico </t>
  </si>
  <si>
    <t>MP-1061707496-0</t>
  </si>
  <si>
    <t>Valeria Fernandez Paz</t>
  </si>
  <si>
    <t>COSTO DEPRECIACION</t>
  </si>
  <si>
    <t>COSTO MATENIMIENTO HORNO</t>
  </si>
  <si>
    <t>SALARIO AUXILIAR CONTABLE</t>
  </si>
  <si>
    <t>Arrendamiento</t>
  </si>
  <si>
    <t>Total Gasto Administración</t>
  </si>
  <si>
    <t>Gasto Venta</t>
  </si>
  <si>
    <t>Total Gasto Venta</t>
  </si>
  <si>
    <t>Total Gasto</t>
  </si>
  <si>
    <t>TOTAL MATERIA PRIMA PRODUCTOS</t>
  </si>
  <si>
    <t>TOTAL M.O PRODUCCIÓN</t>
  </si>
  <si>
    <t xml:space="preserve"> CIF</t>
  </si>
  <si>
    <t xml:space="preserve"> M.O PRODUCCIÓN</t>
  </si>
  <si>
    <t xml:space="preserve">COSTO TOTAL </t>
  </si>
  <si>
    <t>ESTADO DE RESULTADOS</t>
  </si>
  <si>
    <t>TOTAL INGRESOS OPERACIONALES</t>
  </si>
  <si>
    <t>COSTO DE OPERACIONES</t>
  </si>
  <si>
    <t>UTILIDAD BRUTA</t>
  </si>
  <si>
    <t>OPERACIONALES DE ADMINISTRACIÓN Y VENTA</t>
  </si>
  <si>
    <t>OTROS GASTOS</t>
  </si>
  <si>
    <t>Intereses Financieros</t>
  </si>
  <si>
    <t xml:space="preserve">OTROS INGRESOS </t>
  </si>
  <si>
    <t>UTILIDAD ANTES DE IMPUESTOS Y CONTRIBUCIONES</t>
  </si>
  <si>
    <t>IMPUESTOS Y CONTRIBUCIONES (35%)</t>
  </si>
  <si>
    <t>UTILIDAD NETA</t>
  </si>
  <si>
    <t>Reserva Legal Estatutaria (10%)</t>
  </si>
  <si>
    <t>UTILIDAD DEL EJERCICIO</t>
  </si>
  <si>
    <t>1002970332</t>
  </si>
  <si>
    <t xml:space="preserve">DÉBITO </t>
  </si>
  <si>
    <t>ACEITE SÓLIDO</t>
  </si>
  <si>
    <t>ALIÑADO</t>
  </si>
  <si>
    <t>ÁREA CONTABLE Y FINANCIERA</t>
  </si>
  <si>
    <t>PANADERÍA ARTESANAL SEÑORA LOLA</t>
  </si>
  <si>
    <t xml:space="preserve"># de personas en cada área </t>
  </si>
  <si>
    <t>Vida útil del Equipo</t>
  </si>
  <si>
    <t>RETENCIÓN EN LA FUENTE</t>
  </si>
  <si>
    <t>Bancos</t>
  </si>
  <si>
    <t xml:space="preserve">Ingreso ventas </t>
  </si>
  <si>
    <t>D//Registro Ingreso de las venta de los productos al banco.</t>
  </si>
  <si>
    <t>BALANCE  GENERAL</t>
  </si>
  <si>
    <t>ACTIVO</t>
  </si>
  <si>
    <t>PASIVO</t>
  </si>
  <si>
    <t>OBLIGACIONES FINANCIERAS</t>
  </si>
  <si>
    <t>Moneda Nacional</t>
  </si>
  <si>
    <t>Bancos Nacionales</t>
  </si>
  <si>
    <t>CLIENTES NACIONALES</t>
  </si>
  <si>
    <t>PROVEEDORES</t>
  </si>
  <si>
    <t>Clientes nacionales</t>
  </si>
  <si>
    <t>Proveedores nacionales - Mercancía no fabricada por la Empresa</t>
  </si>
  <si>
    <t>ANTICIPOS DE IMPUESTOS Y CONTRIBUCIONES O SALDOS A FAVOR</t>
  </si>
  <si>
    <t>CUENTAS POR PAGAR</t>
  </si>
  <si>
    <t>Otros (Iva descontable por compras 19%)</t>
  </si>
  <si>
    <t>INVENTARIOS</t>
  </si>
  <si>
    <t>Vigencia Fiscal Corriente (10%)</t>
  </si>
  <si>
    <t>Mercancías no fabricadaspor la empresa</t>
  </si>
  <si>
    <t>Vigencia Fiscal Corriente (2,5%)</t>
  </si>
  <si>
    <t>PROPIEDAD, PLANTA Y EQUIPO</t>
  </si>
  <si>
    <t>ACREEDORES VARIOS</t>
  </si>
  <si>
    <t>Construcciones y Edificaciones</t>
  </si>
  <si>
    <t>Otros - Letra de Cambio</t>
  </si>
  <si>
    <t>IMPUESTOS, GRAVÁMENES Y TASAS</t>
  </si>
  <si>
    <t>Muebles y Enseres</t>
  </si>
  <si>
    <t>Iva descontable por compras 19%</t>
  </si>
  <si>
    <t>Iva generado 19%</t>
  </si>
  <si>
    <t>Equipos</t>
  </si>
  <si>
    <t>PARA COSTOS Y GASTOS</t>
  </si>
  <si>
    <t>Honorarios</t>
  </si>
  <si>
    <t>EQUIPO DE COMPUTACION Y COMUNICACIÓN</t>
  </si>
  <si>
    <t>Equipo de Procesamiento de Datos</t>
  </si>
  <si>
    <t>PATRIMONIO</t>
  </si>
  <si>
    <t>FLOTA Y EQUIPO DE TRANSPORTE</t>
  </si>
  <si>
    <t>Aportes Sociales</t>
  </si>
  <si>
    <t>Otros</t>
  </si>
  <si>
    <t>RESERVAS</t>
  </si>
  <si>
    <t>Reserva Legal</t>
  </si>
  <si>
    <t>REVALORIZACIÓN DEL PATRIMONIO</t>
  </si>
  <si>
    <t>Resultado de Ejercicios Anteriores</t>
  </si>
  <si>
    <t>Saneamiento Fiscal</t>
  </si>
  <si>
    <t>RESULTADO DEL EJERCICIO</t>
  </si>
  <si>
    <t>Utilidad del Ejercicio</t>
  </si>
  <si>
    <t>RESULTADO DEL EJERCICIO ANTERIORES</t>
  </si>
  <si>
    <t>Utilidad Acumuladas</t>
  </si>
  <si>
    <t>A JULIO 2024</t>
  </si>
  <si>
    <t>Depreciación Acumulada - Equpos</t>
  </si>
  <si>
    <t>Depreciación Acumulada - Muebles y Enseres</t>
  </si>
  <si>
    <t>Depreciación Acumulada - Equipo Procesamiento de Datos</t>
  </si>
  <si>
    <t>Depreciación Acumulada - Flota y Equipo de Transporte</t>
  </si>
  <si>
    <t>Acemas</t>
  </si>
  <si>
    <t>Pan de Sal</t>
  </si>
  <si>
    <t>Tortas</t>
  </si>
  <si>
    <t>Producción Diaria</t>
  </si>
  <si>
    <t>Valor Diario</t>
  </si>
  <si>
    <t>Costo Unitario</t>
  </si>
  <si>
    <t>Precio de Venta</t>
  </si>
  <si>
    <t>Gastos Fijos Totales Mes</t>
  </si>
  <si>
    <t>Precio Venta Unitario - Costo P Unitario</t>
  </si>
  <si>
    <t>Comprobación</t>
  </si>
  <si>
    <t>Gastos Totales</t>
  </si>
  <si>
    <t>UNIDADES</t>
  </si>
  <si>
    <t>INGRESOS (VENTAS)</t>
  </si>
  <si>
    <t>INVERSIÓN (CT + GT)</t>
  </si>
  <si>
    <t>UTILIDAD</t>
  </si>
  <si>
    <t>ACEMAS</t>
  </si>
  <si>
    <t>PAN DE SAL</t>
  </si>
  <si>
    <t>GASTOS MES =</t>
  </si>
  <si>
    <t xml:space="preserve">Mollete </t>
  </si>
  <si>
    <t>Productos</t>
  </si>
  <si>
    <t>Costo de Receta Diaria</t>
  </si>
  <si>
    <t>Cantidad de horas</t>
  </si>
  <si>
    <t>Salario Mensual</t>
  </si>
  <si>
    <t>Costo Valor Hora</t>
  </si>
  <si>
    <t>Mano de Obra</t>
  </si>
  <si>
    <t>Precio de venta 45%</t>
  </si>
  <si>
    <t>MOLLETE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</si>
</sst>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\ * #,##0_-;\-&quot;$&quot;\ * #,##0_-;_-&quot;$&quot;\ * &quot;-&quot;??_-;_-@_-"/>
    <numFmt numFmtId="165" formatCode="_-* #,##0_-;\-* #,##0_-;_-* &quot;-&quot;??_-;_-@_-"/>
    <numFmt numFmtId="166" formatCode="0.0%"/>
    <numFmt numFmtId="167" formatCode="_-* #,##0.00\ _€_-;\-* #,##0.00\ _€_-;_-* &quot;-&quot;??\ _€_-;_-@_-"/>
    <numFmt numFmtId="168" formatCode="_ * #,##0.00_ ;_ * \-#,##0.00_ ;_ * &quot;-&quot;??_ ;_ @_ "/>
    <numFmt numFmtId="169" formatCode="_-&quot;XDR&quot;* #,##0.00_-;\-&quot;XDR&quot;* #,##0.00_-;_-&quot;XDR&quot;* &quot;-&quot;??_-;_-@_-"/>
    <numFmt numFmtId="170" formatCode="_-&quot;$&quot;\ * #,##0.0_-;\-&quot;$&quot;\ * #,##0.0_-;_-&quot;$&quot;\ * &quot;-&quot;??_-;_-@_-"/>
    <numFmt numFmtId="171" formatCode="_ * #,##0_ ;_ * \-#,##0_ ;_ * &quot;-&quot;??_ ;_ @_ "/>
    <numFmt numFmtId="172" formatCode="_-[$$-240A]\ * #,##0.00_-;\-[$$-240A]\ * #,##0.00_-;_-[$$-240A]\ * &quot;-&quot;??_-;_-@_-"/>
    <numFmt numFmtId="173" formatCode="_-[$$-240A]\ * #,##0_-;\-[$$-240A]\ * #,##0_-;_-[$$-240A]\ * &quot;-&quot;??_-;_-@_-"/>
  </numFmts>
  <fonts count="4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i/>
      <u/>
      <sz val="11"/>
      <color theme="1"/>
      <name val="Aptos Narrow"/>
      <family val="2"/>
      <scheme val="minor"/>
    </font>
    <font>
      <strike/>
      <sz val="11"/>
      <color theme="1"/>
      <name val="Aptos Narrow"/>
      <family val="2"/>
      <scheme val="minor"/>
    </font>
    <font>
      <sz val="11"/>
      <color theme="1"/>
      <name val="Arial"/>
      <family val="2"/>
    </font>
    <font>
      <b/>
      <sz val="14"/>
      <color theme="1"/>
      <name val="Aptos Narrow"/>
      <family val="2"/>
      <scheme val="minor"/>
    </font>
    <font>
      <sz val="10"/>
      <color rgb="FFFF0000"/>
      <name val="Arial Black"/>
      <family val="2"/>
    </font>
    <font>
      <sz val="10"/>
      <color theme="1"/>
      <name val="Arial Black"/>
      <family val="2"/>
    </font>
    <font>
      <sz val="10"/>
      <name val="Arial Black"/>
      <family val="2"/>
    </font>
    <font>
      <sz val="11"/>
      <color theme="1"/>
      <name val="Calibri"/>
      <family val="2"/>
    </font>
    <font>
      <sz val="10"/>
      <color rgb="FFFFFFFF"/>
      <name val="Arial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b/>
      <i/>
      <sz val="11"/>
      <name val="Aptos Narrow"/>
      <family val="2"/>
      <scheme val="minor"/>
    </font>
    <font>
      <i/>
      <sz val="1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i/>
      <sz val="11"/>
      <color theme="1"/>
      <name val="Aptos Narrow"/>
      <family val="2"/>
      <scheme val="minor"/>
    </font>
    <font>
      <i/>
      <sz val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i/>
      <sz val="8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Aptos Narrow"/>
      <family val="2"/>
      <scheme val="minor"/>
    </font>
    <font>
      <b/>
      <sz val="10"/>
      <color rgb="FF000000"/>
      <name val="Aptos Narrow"/>
      <family val="2"/>
      <scheme val="minor"/>
    </font>
    <font>
      <b/>
      <i/>
      <sz val="10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shadow/>
      <sz val="20"/>
      <color rgb="FF000000"/>
      <name val="Aptos Narrow"/>
      <family val="2"/>
      <scheme val="minor"/>
    </font>
    <font>
      <sz val="11"/>
      <color theme="6" tint="0.39997558519241921"/>
      <name val="Aptos Narrow"/>
      <family val="2"/>
      <scheme val="minor"/>
    </font>
    <font>
      <sz val="11"/>
      <name val="Times New Roman"/>
      <family val="1"/>
    </font>
    <font>
      <sz val="11"/>
      <color theme="1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sz val="11"/>
      <color theme="0"/>
      <name val="Times New Roman"/>
      <family val="1"/>
    </font>
    <font>
      <sz val="8"/>
      <name val="Times New Roman"/>
      <family val="1"/>
    </font>
    <font>
      <b/>
      <sz val="1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0"/>
      <name val="Times New Roman"/>
      <family val="1"/>
    </font>
    <font>
      <b/>
      <sz val="11"/>
      <color theme="1"/>
      <name val="Times New Roman"/>
      <family val="1"/>
    </font>
  </fonts>
  <fills count="3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EEAF6"/>
        <bgColor rgb="FFDEEAF6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rgb="FFDEEAF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EEF828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CCCCCC"/>
      </top>
      <bottom/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CCCCCC"/>
      </left>
      <right style="medium">
        <color rgb="FF000000"/>
      </right>
      <top/>
      <bottom/>
      <diagonal/>
    </border>
    <border>
      <left style="medium">
        <color rgb="FFCCCCCC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</cellStyleXfs>
  <cellXfs count="625">
    <xf numFmtId="0" fontId="0" fillId="0" borderId="0" xfId="0"/>
    <xf numFmtId="0" fontId="2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left" wrapText="1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0" fillId="0" borderId="1" xfId="0" applyBorder="1" applyAlignment="1">
      <alignment wrapText="1"/>
    </xf>
    <xf numFmtId="164" fontId="0" fillId="0" borderId="1" xfId="2" applyNumberFormat="1" applyFont="1" applyBorder="1"/>
    <xf numFmtId="9" fontId="0" fillId="0" borderId="0" xfId="0" applyNumberFormat="1"/>
    <xf numFmtId="164" fontId="0" fillId="0" borderId="0" xfId="0" applyNumberFormat="1"/>
    <xf numFmtId="164" fontId="2" fillId="0" borderId="1" xfId="0" applyNumberFormat="1" applyFont="1" applyBorder="1"/>
    <xf numFmtId="165" fontId="0" fillId="0" borderId="0" xfId="1" applyNumberFormat="1" applyFont="1"/>
    <xf numFmtId="165" fontId="0" fillId="0" borderId="0" xfId="0" applyNumberFormat="1"/>
    <xf numFmtId="0" fontId="2" fillId="0" borderId="0" xfId="0" applyFont="1" applyAlignment="1">
      <alignment horizontal="center"/>
    </xf>
    <xf numFmtId="165" fontId="0" fillId="0" borderId="1" xfId="1" applyNumberFormat="1" applyFont="1" applyBorder="1"/>
    <xf numFmtId="165" fontId="0" fillId="0" borderId="1" xfId="0" applyNumberFormat="1" applyBorder="1"/>
    <xf numFmtId="0" fontId="0" fillId="0" borderId="0" xfId="0" applyAlignment="1">
      <alignment horizont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165" fontId="0" fillId="3" borderId="1" xfId="0" applyNumberFormat="1" applyFill="1" applyBorder="1" applyAlignment="1">
      <alignment horizontal="center"/>
    </xf>
    <xf numFmtId="9" fontId="0" fillId="0" borderId="1" xfId="0" applyNumberFormat="1" applyBorder="1"/>
    <xf numFmtId="9" fontId="0" fillId="0" borderId="1" xfId="3" applyFont="1" applyBorder="1"/>
    <xf numFmtId="165" fontId="2" fillId="0" borderId="1" xfId="1" applyNumberFormat="1" applyFont="1" applyBorder="1"/>
    <xf numFmtId="9" fontId="2" fillId="0" borderId="1" xfId="0" applyNumberFormat="1" applyFont="1" applyBorder="1"/>
    <xf numFmtId="9" fontId="2" fillId="0" borderId="1" xfId="3" applyFont="1" applyBorder="1"/>
    <xf numFmtId="165" fontId="2" fillId="0" borderId="1" xfId="0" applyNumberFormat="1" applyFont="1" applyBorder="1"/>
    <xf numFmtId="0" fontId="0" fillId="0" borderId="1" xfId="0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4" borderId="0" xfId="0" applyFill="1"/>
    <xf numFmtId="0" fontId="2" fillId="4" borderId="4" xfId="0" applyFont="1" applyFill="1" applyBorder="1" applyAlignment="1">
      <alignment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3" fillId="0" borderId="3" xfId="0" applyFont="1" applyBorder="1"/>
    <xf numFmtId="0" fontId="0" fillId="0" borderId="3" xfId="0" applyBorder="1"/>
    <xf numFmtId="165" fontId="0" fillId="0" borderId="0" xfId="1" applyNumberFormat="1" applyFont="1" applyBorder="1"/>
    <xf numFmtId="0" fontId="0" fillId="4" borderId="1" xfId="0" applyFill="1" applyBorder="1"/>
    <xf numFmtId="0" fontId="2" fillId="4" borderId="1" xfId="0" applyFont="1" applyFill="1" applyBorder="1" applyAlignment="1">
      <alignment wrapText="1"/>
    </xf>
    <xf numFmtId="165" fontId="1" fillId="0" borderId="1" xfId="1" applyNumberFormat="1" applyFont="1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5" xfId="0" applyBorder="1"/>
    <xf numFmtId="0" fontId="2" fillId="0" borderId="1" xfId="0" applyFont="1" applyBorder="1" applyAlignment="1">
      <alignment horizontal="center" wrapText="1"/>
    </xf>
    <xf numFmtId="165" fontId="0" fillId="0" borderId="1" xfId="1" applyNumberFormat="1" applyFont="1" applyFill="1" applyBorder="1"/>
    <xf numFmtId="10" fontId="0" fillId="0" borderId="1" xfId="3" applyNumberFormat="1" applyFont="1" applyFill="1" applyBorder="1"/>
    <xf numFmtId="10" fontId="0" fillId="0" borderId="1" xfId="0" applyNumberFormat="1" applyBorder="1"/>
    <xf numFmtId="165" fontId="0" fillId="0" borderId="6" xfId="1" applyNumberFormat="1" applyFont="1" applyFill="1" applyBorder="1"/>
    <xf numFmtId="10" fontId="0" fillId="5" borderId="1" xfId="3" applyNumberFormat="1" applyFont="1" applyFill="1" applyBorder="1"/>
    <xf numFmtId="166" fontId="0" fillId="0" borderId="1" xfId="3" applyNumberFormat="1" applyFont="1" applyFill="1" applyBorder="1"/>
    <xf numFmtId="9" fontId="0" fillId="0" borderId="1" xfId="3" applyFont="1" applyFill="1" applyBorder="1"/>
    <xf numFmtId="9" fontId="0" fillId="0" borderId="0" xfId="3" applyFont="1" applyFill="1" applyBorder="1"/>
    <xf numFmtId="0" fontId="2" fillId="0" borderId="6" xfId="0" applyFont="1" applyBorder="1" applyAlignment="1">
      <alignment horizontal="center"/>
    </xf>
    <xf numFmtId="0" fontId="2" fillId="0" borderId="0" xfId="0" applyFont="1"/>
    <xf numFmtId="0" fontId="0" fillId="6" borderId="1" xfId="0" applyFill="1" applyBorder="1" applyAlignment="1">
      <alignment horizontal="center"/>
    </xf>
    <xf numFmtId="165" fontId="0" fillId="0" borderId="6" xfId="1" applyNumberFormat="1" applyFont="1" applyBorder="1"/>
    <xf numFmtId="166" fontId="0" fillId="5" borderId="1" xfId="3" applyNumberFormat="1" applyFont="1" applyFill="1" applyBorder="1"/>
    <xf numFmtId="0" fontId="0" fillId="7" borderId="1" xfId="0" applyFill="1" applyBorder="1" applyAlignment="1">
      <alignment textRotation="90" wrapText="1"/>
    </xf>
    <xf numFmtId="9" fontId="0" fillId="0" borderId="8" xfId="3" applyFont="1" applyBorder="1" applyAlignment="1">
      <alignment horizontal="center"/>
    </xf>
    <xf numFmtId="0" fontId="0" fillId="0" borderId="4" xfId="0" applyBorder="1" applyAlignment="1">
      <alignment horizontal="left" wrapText="1"/>
    </xf>
    <xf numFmtId="9" fontId="0" fillId="0" borderId="9" xfId="3" applyFont="1" applyBorder="1" applyAlignment="1">
      <alignment horizontal="center" wrapText="1"/>
    </xf>
    <xf numFmtId="0" fontId="0" fillId="7" borderId="11" xfId="0" applyFill="1" applyBorder="1"/>
    <xf numFmtId="0" fontId="0" fillId="7" borderId="3" xfId="0" applyFill="1" applyBorder="1"/>
    <xf numFmtId="0" fontId="0" fillId="8" borderId="1" xfId="0" applyFill="1" applyBorder="1" applyAlignment="1">
      <alignment textRotation="90" wrapText="1"/>
    </xf>
    <xf numFmtId="0" fontId="0" fillId="0" borderId="5" xfId="0" applyBorder="1" applyAlignment="1">
      <alignment wrapText="1"/>
    </xf>
    <xf numFmtId="165" fontId="0" fillId="0" borderId="10" xfId="1" applyNumberFormat="1" applyFont="1" applyFill="1" applyBorder="1"/>
    <xf numFmtId="165" fontId="0" fillId="0" borderId="4" xfId="1" applyNumberFormat="1" applyFont="1" applyBorder="1" applyAlignment="1">
      <alignment horizontal="center"/>
    </xf>
    <xf numFmtId="166" fontId="0" fillId="0" borderId="1" xfId="0" applyNumberFormat="1" applyBorder="1"/>
    <xf numFmtId="166" fontId="0" fillId="0" borderId="1" xfId="3" applyNumberFormat="1" applyFont="1" applyBorder="1"/>
    <xf numFmtId="9" fontId="0" fillId="0" borderId="1" xfId="0" applyNumberFormat="1" applyBorder="1" applyAlignment="1">
      <alignment horizontal="center"/>
    </xf>
    <xf numFmtId="165" fontId="0" fillId="0" borderId="2" xfId="1" applyNumberFormat="1" applyFont="1" applyBorder="1" applyAlignment="1">
      <alignment horizontal="center"/>
    </xf>
    <xf numFmtId="9" fontId="0" fillId="8" borderId="1" xfId="0" applyNumberFormat="1" applyFill="1" applyBorder="1" applyAlignment="1">
      <alignment horizontal="center"/>
    </xf>
    <xf numFmtId="9" fontId="0" fillId="8" borderId="1" xfId="0" applyNumberFormat="1" applyFill="1" applyBorder="1"/>
    <xf numFmtId="9" fontId="0" fillId="0" borderId="0" xfId="0" applyNumberFormat="1" applyAlignment="1">
      <alignment horizontal="center"/>
    </xf>
    <xf numFmtId="9" fontId="0" fillId="0" borderId="1" xfId="0" applyNumberFormat="1" applyBorder="1" applyAlignment="1">
      <alignment horizontal="center" vertical="center"/>
    </xf>
    <xf numFmtId="9" fontId="0" fillId="8" borderId="1" xfId="0" applyNumberFormat="1" applyFill="1" applyBorder="1" applyAlignment="1">
      <alignment horizontal="center" vertical="center"/>
    </xf>
    <xf numFmtId="9" fontId="0" fillId="0" borderId="1" xfId="3" applyFont="1" applyBorder="1" applyAlignment="1">
      <alignment horizontal="center"/>
    </xf>
    <xf numFmtId="0" fontId="0" fillId="8" borderId="1" xfId="0" applyFill="1" applyBorder="1"/>
    <xf numFmtId="9" fontId="4" fillId="0" borderId="1" xfId="0" applyNumberFormat="1" applyFont="1" applyBorder="1"/>
    <xf numFmtId="0" fontId="0" fillId="0" borderId="0" xfId="0" applyAlignment="1">
      <alignment wrapText="1"/>
    </xf>
    <xf numFmtId="9" fontId="4" fillId="0" borderId="0" xfId="0" applyNumberFormat="1" applyFont="1"/>
    <xf numFmtId="0" fontId="0" fillId="8" borderId="0" xfId="0" applyFill="1" applyAlignment="1">
      <alignment wrapText="1"/>
    </xf>
    <xf numFmtId="0" fontId="0" fillId="0" borderId="6" xfId="0" applyBorder="1" applyAlignment="1">
      <alignment wrapText="1"/>
    </xf>
    <xf numFmtId="0" fontId="0" fillId="7" borderId="0" xfId="0" applyFill="1" applyAlignment="1">
      <alignment wrapText="1"/>
    </xf>
    <xf numFmtId="0" fontId="0" fillId="0" borderId="6" xfId="0" applyBorder="1"/>
    <xf numFmtId="0" fontId="0" fillId="5" borderId="0" xfId="0" applyFill="1" applyAlignment="1">
      <alignment wrapText="1"/>
    </xf>
    <xf numFmtId="0" fontId="2" fillId="0" borderId="8" xfId="0" applyFont="1" applyBorder="1" applyAlignment="1">
      <alignment horizontal="center"/>
    </xf>
    <xf numFmtId="0" fontId="2" fillId="10" borderId="0" xfId="0" applyFont="1" applyFill="1" applyAlignment="1">
      <alignment wrapText="1"/>
    </xf>
    <xf numFmtId="0" fontId="2" fillId="0" borderId="0" xfId="0" applyFont="1" applyAlignment="1">
      <alignment wrapText="1"/>
    </xf>
    <xf numFmtId="0" fontId="2" fillId="0" borderId="6" xfId="0" applyFont="1" applyBorder="1" applyAlignment="1">
      <alignment wrapText="1"/>
    </xf>
    <xf numFmtId="0" fontId="2" fillId="7" borderId="0" xfId="0" applyFont="1" applyFill="1" applyAlignment="1">
      <alignment wrapText="1"/>
    </xf>
    <xf numFmtId="0" fontId="2" fillId="0" borderId="6" xfId="0" applyFont="1" applyBorder="1"/>
    <xf numFmtId="0" fontId="2" fillId="5" borderId="0" xfId="0" applyFont="1" applyFill="1" applyAlignment="1">
      <alignment wrapText="1"/>
    </xf>
    <xf numFmtId="0" fontId="0" fillId="0" borderId="1" xfId="0" applyBorder="1" applyAlignment="1">
      <alignment horizontal="right" wrapText="1"/>
    </xf>
    <xf numFmtId="0" fontId="0" fillId="11" borderId="1" xfId="0" applyFill="1" applyBorder="1" applyAlignment="1">
      <alignment wrapText="1"/>
    </xf>
    <xf numFmtId="0" fontId="0" fillId="11" borderId="1" xfId="0" applyFill="1" applyBorder="1" applyAlignment="1">
      <alignment horizontal="right"/>
    </xf>
    <xf numFmtId="9" fontId="0" fillId="11" borderId="1" xfId="3" applyFont="1" applyFill="1" applyBorder="1"/>
    <xf numFmtId="9" fontId="0" fillId="0" borderId="0" xfId="3" applyFont="1"/>
    <xf numFmtId="165" fontId="0" fillId="0" borderId="1" xfId="1" applyNumberFormat="1" applyFont="1" applyBorder="1" applyAlignment="1">
      <alignment horizontal="right"/>
    </xf>
    <xf numFmtId="0" fontId="5" fillId="0" borderId="1" xfId="0" applyFont="1" applyBorder="1" applyAlignment="1">
      <alignment wrapText="1"/>
    </xf>
    <xf numFmtId="164" fontId="0" fillId="0" borderId="1" xfId="0" applyNumberFormat="1" applyBorder="1"/>
    <xf numFmtId="0" fontId="2" fillId="12" borderId="1" xfId="0" applyFont="1" applyFill="1" applyBorder="1" applyAlignment="1">
      <alignment wrapText="1"/>
    </xf>
    <xf numFmtId="9" fontId="0" fillId="12" borderId="1" xfId="0" applyNumberFormat="1" applyFill="1" applyBorder="1"/>
    <xf numFmtId="0" fontId="2" fillId="7" borderId="1" xfId="0" applyFont="1" applyFill="1" applyBorder="1"/>
    <xf numFmtId="9" fontId="0" fillId="7" borderId="1" xfId="0" applyNumberFormat="1" applyFill="1" applyBorder="1"/>
    <xf numFmtId="0" fontId="2" fillId="5" borderId="1" xfId="0" applyFont="1" applyFill="1" applyBorder="1" applyAlignment="1">
      <alignment wrapText="1"/>
    </xf>
    <xf numFmtId="9" fontId="0" fillId="5" borderId="1" xfId="0" applyNumberFormat="1" applyFill="1" applyBorder="1"/>
    <xf numFmtId="0" fontId="2" fillId="13" borderId="1" xfId="0" applyFont="1" applyFill="1" applyBorder="1" applyAlignment="1">
      <alignment horizontal="center"/>
    </xf>
    <xf numFmtId="0" fontId="2" fillId="13" borderId="1" xfId="0" applyFont="1" applyFill="1" applyBorder="1" applyAlignment="1">
      <alignment horizontal="center" wrapText="1"/>
    </xf>
    <xf numFmtId="165" fontId="0" fillId="0" borderId="1" xfId="3" applyNumberFormat="1" applyFont="1" applyBorder="1"/>
    <xf numFmtId="165" fontId="0" fillId="0" borderId="0" xfId="1" applyNumberFormat="1" applyFont="1" applyFill="1" applyBorder="1"/>
    <xf numFmtId="9" fontId="1" fillId="0" borderId="0" xfId="3" applyFont="1"/>
    <xf numFmtId="165" fontId="0" fillId="14" borderId="1" xfId="0" applyNumberFormat="1" applyFill="1" applyBorder="1"/>
    <xf numFmtId="165" fontId="0" fillId="9" borderId="1" xfId="0" applyNumberFormat="1" applyFill="1" applyBorder="1"/>
    <xf numFmtId="165" fontId="0" fillId="12" borderId="1" xfId="0" applyNumberFormat="1" applyFill="1" applyBorder="1"/>
    <xf numFmtId="165" fontId="0" fillId="12" borderId="0" xfId="0" applyNumberFormat="1" applyFill="1"/>
    <xf numFmtId="0" fontId="0" fillId="12" borderId="0" xfId="0" applyFill="1"/>
    <xf numFmtId="0" fontId="0" fillId="6" borderId="1" xfId="0" applyFill="1" applyBorder="1" applyAlignment="1">
      <alignment horizontal="center" wrapText="1"/>
    </xf>
    <xf numFmtId="0" fontId="7" fillId="0" borderId="0" xfId="0" applyFont="1" applyAlignment="1">
      <alignment horizontal="center" vertical="center"/>
    </xf>
    <xf numFmtId="42" fontId="8" fillId="5" borderId="0" xfId="4" applyFont="1" applyFill="1"/>
    <xf numFmtId="42" fontId="8" fillId="0" borderId="0" xfId="4" applyFont="1"/>
    <xf numFmtId="0" fontId="8" fillId="0" borderId="0" xfId="0" applyFont="1"/>
    <xf numFmtId="0" fontId="9" fillId="0" borderId="0" xfId="0" applyFont="1" applyAlignment="1">
      <alignment horizontal="center" vertical="center"/>
    </xf>
    <xf numFmtId="42" fontId="7" fillId="0" borderId="1" xfId="4" applyFont="1" applyBorder="1" applyAlignment="1">
      <alignment horizontal="center" vertical="center"/>
    </xf>
    <xf numFmtId="42" fontId="7" fillId="5" borderId="1" xfId="4" applyFont="1" applyFill="1" applyBorder="1" applyAlignment="1">
      <alignment horizontal="center" vertical="center"/>
    </xf>
    <xf numFmtId="0" fontId="8" fillId="0" borderId="1" xfId="0" applyFont="1" applyBorder="1"/>
    <xf numFmtId="42" fontId="8" fillId="0" borderId="1" xfId="4" applyFont="1" applyBorder="1"/>
    <xf numFmtId="42" fontId="8" fillId="5" borderId="1" xfId="4" applyFont="1" applyFill="1" applyBorder="1"/>
    <xf numFmtId="0" fontId="8" fillId="0" borderId="1" xfId="0" applyFont="1" applyBorder="1" applyAlignment="1">
      <alignment wrapText="1"/>
    </xf>
    <xf numFmtId="0" fontId="7" fillId="0" borderId="1" xfId="0" applyFont="1" applyBorder="1"/>
    <xf numFmtId="42" fontId="7" fillId="0" borderId="1" xfId="4" applyFont="1" applyBorder="1"/>
    <xf numFmtId="42" fontId="7" fillId="5" borderId="1" xfId="4" applyFont="1" applyFill="1" applyBorder="1"/>
    <xf numFmtId="0" fontId="7" fillId="0" borderId="0" xfId="0" applyFont="1"/>
    <xf numFmtId="0" fontId="10" fillId="0" borderId="12" xfId="0" applyFont="1" applyBorder="1" applyAlignment="1">
      <alignment wrapText="1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vertical="center"/>
    </xf>
    <xf numFmtId="3" fontId="10" fillId="0" borderId="12" xfId="0" applyNumberFormat="1" applyFont="1" applyBorder="1" applyAlignment="1">
      <alignment horizontal="right" wrapText="1"/>
    </xf>
    <xf numFmtId="0" fontId="10" fillId="0" borderId="13" xfId="0" applyFont="1" applyBorder="1" applyAlignment="1">
      <alignment wrapText="1"/>
    </xf>
    <xf numFmtId="0" fontId="10" fillId="0" borderId="14" xfId="0" applyFont="1" applyBorder="1" applyAlignment="1">
      <alignment wrapText="1"/>
    </xf>
    <xf numFmtId="0" fontId="10" fillId="0" borderId="15" xfId="0" applyFont="1" applyBorder="1" applyAlignment="1">
      <alignment wrapText="1"/>
    </xf>
    <xf numFmtId="14" fontId="0" fillId="0" borderId="0" xfId="0" applyNumberFormat="1"/>
    <xf numFmtId="0" fontId="10" fillId="0" borderId="14" xfId="0" applyFont="1" applyBorder="1" applyAlignment="1">
      <alignment horizontal="right" wrapText="1"/>
    </xf>
    <xf numFmtId="0" fontId="10" fillId="5" borderId="15" xfId="0" applyFont="1" applyFill="1" applyBorder="1" applyAlignment="1">
      <alignment wrapText="1"/>
    </xf>
    <xf numFmtId="3" fontId="10" fillId="0" borderId="15" xfId="0" applyNumberFormat="1" applyFont="1" applyBorder="1" applyAlignment="1">
      <alignment horizontal="right" wrapText="1"/>
    </xf>
    <xf numFmtId="0" fontId="0" fillId="5" borderId="0" xfId="0" applyFill="1"/>
    <xf numFmtId="165" fontId="0" fillId="5" borderId="0" xfId="1" applyNumberFormat="1" applyFont="1" applyFill="1"/>
    <xf numFmtId="0" fontId="10" fillId="0" borderId="16" xfId="0" applyFont="1" applyBorder="1" applyAlignment="1">
      <alignment wrapText="1"/>
    </xf>
    <xf numFmtId="0" fontId="10" fillId="0" borderId="0" xfId="0" applyFont="1" applyAlignment="1">
      <alignment vertical="center"/>
    </xf>
    <xf numFmtId="0" fontId="10" fillId="0" borderId="0" xfId="0" applyFont="1" applyAlignment="1">
      <alignment wrapText="1"/>
    </xf>
    <xf numFmtId="0" fontId="10" fillId="0" borderId="1" xfId="0" applyFont="1" applyBorder="1" applyAlignment="1">
      <alignment wrapText="1"/>
    </xf>
    <xf numFmtId="0" fontId="10" fillId="0" borderId="17" xfId="0" applyFont="1" applyBorder="1" applyAlignment="1">
      <alignment horizontal="right" wrapText="1"/>
    </xf>
    <xf numFmtId="0" fontId="10" fillId="5" borderId="18" xfId="0" applyFont="1" applyFill="1" applyBorder="1" applyAlignment="1">
      <alignment wrapText="1"/>
    </xf>
    <xf numFmtId="3" fontId="10" fillId="0" borderId="18" xfId="0" applyNumberFormat="1" applyFont="1" applyBorder="1" applyAlignment="1">
      <alignment horizontal="right" wrapText="1"/>
    </xf>
    <xf numFmtId="0" fontId="10" fillId="0" borderId="18" xfId="0" applyFont="1" applyBorder="1" applyAlignment="1">
      <alignment wrapText="1"/>
    </xf>
    <xf numFmtId="164" fontId="0" fillId="0" borderId="0" xfId="2" applyNumberFormat="1" applyFont="1"/>
    <xf numFmtId="0" fontId="11" fillId="0" borderId="0" xfId="0" applyFont="1" applyAlignment="1">
      <alignment vertical="center" wrapText="1"/>
    </xf>
    <xf numFmtId="0" fontId="0" fillId="5" borderId="1" xfId="0" applyFill="1" applyBorder="1"/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wrapText="1"/>
    </xf>
    <xf numFmtId="0" fontId="10" fillId="0" borderId="21" xfId="0" applyFont="1" applyBorder="1" applyAlignment="1">
      <alignment wrapText="1"/>
    </xf>
    <xf numFmtId="165" fontId="10" fillId="0" borderId="18" xfId="1" applyNumberFormat="1" applyFont="1" applyBorder="1" applyAlignment="1">
      <alignment wrapText="1"/>
    </xf>
    <xf numFmtId="0" fontId="8" fillId="0" borderId="0" xfId="0" applyFont="1" applyAlignment="1">
      <alignment vertical="center" wrapText="1"/>
    </xf>
    <xf numFmtId="3" fontId="0" fillId="0" borderId="0" xfId="0" applyNumberFormat="1"/>
    <xf numFmtId="0" fontId="0" fillId="16" borderId="0" xfId="0" applyFill="1" applyAlignment="1">
      <alignment horizontal="center"/>
    </xf>
    <xf numFmtId="0" fontId="2" fillId="15" borderId="0" xfId="0" applyFont="1" applyFill="1"/>
    <xf numFmtId="165" fontId="2" fillId="5" borderId="0" xfId="0" applyNumberFormat="1" applyFont="1" applyFill="1"/>
    <xf numFmtId="165" fontId="0" fillId="13" borderId="0" xfId="0" applyNumberFormat="1" applyFill="1"/>
    <xf numFmtId="0" fontId="0" fillId="13" borderId="0" xfId="0" applyFill="1"/>
    <xf numFmtId="0" fontId="2" fillId="17" borderId="1" xfId="0" applyFont="1" applyFill="1" applyBorder="1" applyAlignment="1">
      <alignment horizontal="center"/>
    </xf>
    <xf numFmtId="0" fontId="2" fillId="17" borderId="0" xfId="0" applyFont="1" applyFill="1" applyAlignment="1">
      <alignment horizontal="center"/>
    </xf>
    <xf numFmtId="165" fontId="1" fillId="0" borderId="1" xfId="1" applyNumberFormat="1" applyFont="1" applyBorder="1"/>
    <xf numFmtId="0" fontId="0" fillId="16" borderId="1" xfId="0" applyFill="1" applyBorder="1"/>
    <xf numFmtId="0" fontId="10" fillId="18" borderId="25" xfId="0" applyFont="1" applyFill="1" applyBorder="1"/>
    <xf numFmtId="165" fontId="0" fillId="0" borderId="3" xfId="1" applyNumberFormat="1" applyFont="1" applyBorder="1"/>
    <xf numFmtId="0" fontId="0" fillId="19" borderId="1" xfId="0" applyFill="1" applyBorder="1"/>
    <xf numFmtId="0" fontId="10" fillId="20" borderId="25" xfId="0" applyFont="1" applyFill="1" applyBorder="1"/>
    <xf numFmtId="0" fontId="12" fillId="18" borderId="1" xfId="0" applyFont="1" applyFill="1" applyBorder="1"/>
    <xf numFmtId="0" fontId="0" fillId="10" borderId="1" xfId="0" applyFill="1" applyBorder="1"/>
    <xf numFmtId="165" fontId="0" fillId="0" borderId="0" xfId="0" applyNumberFormat="1" applyAlignment="1">
      <alignment wrapText="1"/>
    </xf>
    <xf numFmtId="165" fontId="0" fillId="5" borderId="0" xfId="0" applyNumberFormat="1" applyFill="1"/>
    <xf numFmtId="0" fontId="0" fillId="21" borderId="0" xfId="0" applyFill="1"/>
    <xf numFmtId="165" fontId="0" fillId="21" borderId="0" xfId="0" applyNumberFormat="1" applyFill="1"/>
    <xf numFmtId="0" fontId="0" fillId="22" borderId="0" xfId="0" applyFill="1" applyAlignment="1">
      <alignment wrapText="1"/>
    </xf>
    <xf numFmtId="165" fontId="0" fillId="22" borderId="0" xfId="0" applyNumberFormat="1" applyFill="1"/>
    <xf numFmtId="0" fontId="2" fillId="0" borderId="8" xfId="0" applyFont="1" applyBorder="1"/>
    <xf numFmtId="10" fontId="0" fillId="0" borderId="1" xfId="3" applyNumberFormat="1" applyFont="1" applyBorder="1"/>
    <xf numFmtId="0" fontId="2" fillId="0" borderId="3" xfId="0" applyFont="1" applyBorder="1"/>
    <xf numFmtId="0" fontId="2" fillId="17" borderId="1" xfId="0" applyFont="1" applyFill="1" applyBorder="1" applyAlignment="1">
      <alignment wrapText="1"/>
    </xf>
    <xf numFmtId="0" fontId="2" fillId="17" borderId="1" xfId="0" applyFont="1" applyFill="1" applyBorder="1" applyAlignment="1">
      <alignment vertical="center" wrapText="1"/>
    </xf>
    <xf numFmtId="0" fontId="8" fillId="0" borderId="6" xfId="0" applyFont="1" applyBorder="1" applyAlignment="1">
      <alignment horizontal="left"/>
    </xf>
    <xf numFmtId="3" fontId="0" fillId="0" borderId="1" xfId="0" applyNumberFormat="1" applyBorder="1"/>
    <xf numFmtId="0" fontId="8" fillId="0" borderId="1" xfId="0" applyFont="1" applyBorder="1" applyAlignment="1">
      <alignment horizontal="left"/>
    </xf>
    <xf numFmtId="0" fontId="2" fillId="0" borderId="0" xfId="0" applyFont="1" applyAlignment="1">
      <alignment horizontal="center" wrapText="1"/>
    </xf>
    <xf numFmtId="0" fontId="0" fillId="0" borderId="6" xfId="0" applyBorder="1" applyAlignment="1">
      <alignment horizontal="right"/>
    </xf>
    <xf numFmtId="0" fontId="0" fillId="11" borderId="6" xfId="0" applyFill="1" applyBorder="1" applyAlignment="1">
      <alignment horizontal="right"/>
    </xf>
    <xf numFmtId="165" fontId="0" fillId="0" borderId="6" xfId="1" applyNumberFormat="1" applyFont="1" applyBorder="1" applyAlignment="1">
      <alignment horizontal="right"/>
    </xf>
    <xf numFmtId="9" fontId="0" fillId="11" borderId="6" xfId="3" applyFont="1" applyFill="1" applyBorder="1" applyAlignment="1">
      <alignment horizontal="right"/>
    </xf>
    <xf numFmtId="0" fontId="4" fillId="0" borderId="1" xfId="0" applyFont="1" applyBorder="1"/>
    <xf numFmtId="9" fontId="0" fillId="0" borderId="0" xfId="3" applyFont="1" applyBorder="1"/>
    <xf numFmtId="10" fontId="0" fillId="0" borderId="0" xfId="3" applyNumberFormat="1" applyFont="1" applyFill="1" applyBorder="1"/>
    <xf numFmtId="165" fontId="0" fillId="3" borderId="1" xfId="0" applyNumberFormat="1" applyFill="1" applyBorder="1" applyAlignment="1">
      <alignment horizontal="center" wrapText="1"/>
    </xf>
    <xf numFmtId="0" fontId="0" fillId="3" borderId="1" xfId="0" applyFill="1" applyBorder="1" applyAlignment="1">
      <alignment wrapText="1"/>
    </xf>
    <xf numFmtId="0" fontId="10" fillId="0" borderId="0" xfId="0" applyFont="1" applyAlignment="1">
      <alignment horizontal="left" wrapText="1"/>
    </xf>
    <xf numFmtId="0" fontId="10" fillId="0" borderId="26" xfId="0" applyFont="1" applyBorder="1" applyAlignment="1">
      <alignment horizontal="right" wrapText="1"/>
    </xf>
    <xf numFmtId="0" fontId="10" fillId="0" borderId="1" xfId="0" applyFont="1" applyBorder="1" applyAlignment="1">
      <alignment horizontal="left" wrapText="1"/>
    </xf>
    <xf numFmtId="0" fontId="10" fillId="0" borderId="1" xfId="0" applyFont="1" applyBorder="1" applyAlignment="1">
      <alignment horizontal="right" wrapText="1"/>
    </xf>
    <xf numFmtId="3" fontId="8" fillId="0" borderId="0" xfId="0" applyNumberFormat="1" applyFont="1" applyAlignment="1">
      <alignment vertical="center" wrapText="1"/>
    </xf>
    <xf numFmtId="165" fontId="10" fillId="0" borderId="18" xfId="1" applyNumberFormat="1" applyFont="1" applyBorder="1" applyAlignment="1">
      <alignment horizontal="right" wrapText="1"/>
    </xf>
    <xf numFmtId="165" fontId="10" fillId="0" borderId="27" xfId="1" applyNumberFormat="1" applyFont="1" applyBorder="1" applyAlignment="1">
      <alignment horizontal="right" wrapText="1"/>
    </xf>
    <xf numFmtId="165" fontId="8" fillId="0" borderId="1" xfId="1" applyNumberFormat="1" applyFont="1" applyBorder="1" applyAlignment="1">
      <alignment vertical="center" wrapText="1"/>
    </xf>
    <xf numFmtId="43" fontId="0" fillId="0" borderId="0" xfId="1" applyFont="1"/>
    <xf numFmtId="165" fontId="10" fillId="0" borderId="28" xfId="1" applyNumberFormat="1" applyFont="1" applyBorder="1" applyAlignment="1">
      <alignment horizontal="right" wrapText="1"/>
    </xf>
    <xf numFmtId="165" fontId="8" fillId="0" borderId="6" xfId="1" applyNumberFormat="1" applyFont="1" applyBorder="1" applyAlignment="1">
      <alignment vertical="center" wrapText="1"/>
    </xf>
    <xf numFmtId="165" fontId="10" fillId="0" borderId="1" xfId="1" applyNumberFormat="1" applyFont="1" applyBorder="1" applyAlignment="1">
      <alignment horizontal="right" wrapText="1"/>
    </xf>
    <xf numFmtId="3" fontId="8" fillId="0" borderId="0" xfId="0" applyNumberFormat="1" applyFont="1" applyAlignment="1">
      <alignment vertical="center"/>
    </xf>
    <xf numFmtId="0" fontId="10" fillId="0" borderId="22" xfId="0" applyFont="1" applyBorder="1"/>
    <xf numFmtId="0" fontId="10" fillId="0" borderId="23" xfId="0" applyFont="1" applyBorder="1"/>
    <xf numFmtId="0" fontId="10" fillId="0" borderId="0" xfId="0" applyFont="1"/>
    <xf numFmtId="0" fontId="2" fillId="15" borderId="29" xfId="0" applyFont="1" applyFill="1" applyBorder="1"/>
    <xf numFmtId="0" fontId="2" fillId="15" borderId="30" xfId="0" applyFont="1" applyFill="1" applyBorder="1"/>
    <xf numFmtId="0" fontId="2" fillId="15" borderId="31" xfId="0" applyFont="1" applyFill="1" applyBorder="1"/>
    <xf numFmtId="0" fontId="2" fillId="15" borderId="32" xfId="0" applyFont="1" applyFill="1" applyBorder="1" applyAlignment="1">
      <alignment wrapText="1"/>
    </xf>
    <xf numFmtId="0" fontId="0" fillId="0" borderId="33" xfId="0" applyBorder="1"/>
    <xf numFmtId="165" fontId="0" fillId="0" borderId="34" xfId="1" applyNumberFormat="1" applyFont="1" applyBorder="1"/>
    <xf numFmtId="0" fontId="2" fillId="15" borderId="35" xfId="0" applyFont="1" applyFill="1" applyBorder="1"/>
    <xf numFmtId="165" fontId="0" fillId="0" borderId="29" xfId="0" applyNumberFormat="1" applyBorder="1"/>
    <xf numFmtId="0" fontId="0" fillId="0" borderId="36" xfId="0" applyBorder="1"/>
    <xf numFmtId="165" fontId="0" fillId="0" borderId="29" xfId="1" applyNumberFormat="1" applyFont="1" applyBorder="1"/>
    <xf numFmtId="0" fontId="0" fillId="0" borderId="29" xfId="0" applyBorder="1"/>
    <xf numFmtId="0" fontId="0" fillId="0" borderId="37" xfId="0" applyBorder="1"/>
    <xf numFmtId="0" fontId="2" fillId="0" borderId="29" xfId="0" applyFont="1" applyBorder="1"/>
    <xf numFmtId="165" fontId="2" fillId="0" borderId="38" xfId="0" applyNumberFormat="1" applyFont="1" applyBorder="1"/>
    <xf numFmtId="0" fontId="10" fillId="0" borderId="39" xfId="0" applyFont="1" applyBorder="1"/>
    <xf numFmtId="3" fontId="8" fillId="0" borderId="1" xfId="0" applyNumberFormat="1" applyFont="1" applyBorder="1" applyAlignment="1">
      <alignment vertical="center" wrapText="1"/>
    </xf>
    <xf numFmtId="0" fontId="0" fillId="0" borderId="6" xfId="0" applyBorder="1" applyAlignment="1">
      <alignment horizontal="center"/>
    </xf>
    <xf numFmtId="1" fontId="0" fillId="0" borderId="0" xfId="0" applyNumberFormat="1"/>
    <xf numFmtId="0" fontId="10" fillId="0" borderId="28" xfId="0" applyFont="1" applyBorder="1" applyAlignment="1">
      <alignment wrapText="1"/>
    </xf>
    <xf numFmtId="165" fontId="2" fillId="10" borderId="0" xfId="0" applyNumberFormat="1" applyFont="1" applyFill="1" applyAlignment="1">
      <alignment wrapText="1"/>
    </xf>
    <xf numFmtId="0" fontId="0" fillId="16" borderId="1" xfId="0" applyFill="1" applyBorder="1" applyAlignment="1">
      <alignment wrapText="1"/>
    </xf>
    <xf numFmtId="0" fontId="0" fillId="19" borderId="1" xfId="0" applyFill="1" applyBorder="1" applyAlignment="1">
      <alignment wrapText="1"/>
    </xf>
    <xf numFmtId="0" fontId="10" fillId="0" borderId="2" xfId="0" applyFont="1" applyBorder="1" applyAlignment="1">
      <alignment horizontal="right" wrapText="1"/>
    </xf>
    <xf numFmtId="165" fontId="10" fillId="0" borderId="2" xfId="1" applyNumberFormat="1" applyFont="1" applyBorder="1" applyAlignment="1">
      <alignment horizontal="right" wrapText="1"/>
    </xf>
    <xf numFmtId="0" fontId="14" fillId="0" borderId="0" xfId="5" applyFont="1" applyAlignment="1">
      <alignment horizontal="left"/>
    </xf>
    <xf numFmtId="0" fontId="15" fillId="0" borderId="40" xfId="5" applyFont="1" applyBorder="1"/>
    <xf numFmtId="0" fontId="14" fillId="0" borderId="40" xfId="5" applyFont="1" applyBorder="1"/>
    <xf numFmtId="168" fontId="15" fillId="0" borderId="40" xfId="6" applyNumberFormat="1" applyFont="1" applyBorder="1"/>
    <xf numFmtId="0" fontId="16" fillId="0" borderId="0" xfId="5" applyFont="1"/>
    <xf numFmtId="49" fontId="14" fillId="0" borderId="0" xfId="5" applyNumberFormat="1" applyFont="1" applyAlignment="1">
      <alignment horizontal="center"/>
    </xf>
    <xf numFmtId="49" fontId="14" fillId="0" borderId="0" xfId="5" applyNumberFormat="1" applyFont="1"/>
    <xf numFmtId="0" fontId="15" fillId="0" borderId="0" xfId="5" applyFont="1"/>
    <xf numFmtId="0" fontId="14" fillId="0" borderId="0" xfId="5" applyFont="1"/>
    <xf numFmtId="0" fontId="15" fillId="0" borderId="43" xfId="5" applyFont="1" applyBorder="1"/>
    <xf numFmtId="168" fontId="15" fillId="0" borderId="0" xfId="6" applyNumberFormat="1" applyFont="1"/>
    <xf numFmtId="164" fontId="16" fillId="0" borderId="0" xfId="7" applyNumberFormat="1" applyFont="1"/>
    <xf numFmtId="0" fontId="17" fillId="0" borderId="0" xfId="5" applyFont="1"/>
    <xf numFmtId="0" fontId="15" fillId="0" borderId="41" xfId="5" applyFont="1" applyBorder="1"/>
    <xf numFmtId="167" fontId="14" fillId="0" borderId="0" xfId="6" applyFont="1" applyFill="1" applyBorder="1" applyAlignment="1">
      <alignment vertical="center"/>
    </xf>
    <xf numFmtId="49" fontId="14" fillId="0" borderId="41" xfId="5" applyNumberFormat="1" applyFont="1" applyBorder="1" applyAlignment="1">
      <alignment horizontal="center"/>
    </xf>
    <xf numFmtId="168" fontId="18" fillId="0" borderId="0" xfId="6" applyNumberFormat="1" applyFont="1" applyBorder="1"/>
    <xf numFmtId="9" fontId="16" fillId="0" borderId="0" xfId="3" applyFont="1"/>
    <xf numFmtId="0" fontId="10" fillId="0" borderId="0" xfId="0" applyFont="1" applyAlignment="1">
      <alignment horizontal="right" wrapText="1"/>
    </xf>
    <xf numFmtId="165" fontId="10" fillId="0" borderId="0" xfId="1" applyNumberFormat="1" applyFont="1" applyBorder="1" applyAlignment="1">
      <alignment horizontal="right" wrapText="1"/>
    </xf>
    <xf numFmtId="0" fontId="10" fillId="22" borderId="0" xfId="0" applyFont="1" applyFill="1" applyAlignment="1">
      <alignment horizontal="right" wrapText="1"/>
    </xf>
    <xf numFmtId="165" fontId="10" fillId="22" borderId="0" xfId="1" applyNumberFormat="1" applyFont="1" applyFill="1" applyBorder="1" applyAlignment="1">
      <alignment horizontal="right" wrapText="1"/>
    </xf>
    <xf numFmtId="0" fontId="10" fillId="5" borderId="1" xfId="0" applyFont="1" applyFill="1" applyBorder="1" applyAlignment="1">
      <alignment horizontal="right" wrapText="1"/>
    </xf>
    <xf numFmtId="165" fontId="0" fillId="5" borderId="1" xfId="0" applyNumberFormat="1" applyFill="1" applyBorder="1"/>
    <xf numFmtId="0" fontId="2" fillId="19" borderId="1" xfId="0" applyFont="1" applyFill="1" applyBorder="1"/>
    <xf numFmtId="165" fontId="2" fillId="19" borderId="1" xfId="0" applyNumberFormat="1" applyFont="1" applyFill="1" applyBorder="1"/>
    <xf numFmtId="42" fontId="0" fillId="0" borderId="1" xfId="0" applyNumberFormat="1" applyBorder="1"/>
    <xf numFmtId="0" fontId="0" fillId="19" borderId="0" xfId="0" applyFill="1"/>
    <xf numFmtId="42" fontId="0" fillId="19" borderId="0" xfId="0" applyNumberFormat="1" applyFill="1"/>
    <xf numFmtId="0" fontId="6" fillId="0" borderId="0" xfId="0" applyFont="1" applyAlignment="1">
      <alignment horizontal="center" wrapText="1"/>
    </xf>
    <xf numFmtId="42" fontId="0" fillId="0" borderId="0" xfId="0" applyNumberFormat="1"/>
    <xf numFmtId="42" fontId="0" fillId="22" borderId="0" xfId="0" applyNumberFormat="1" applyFill="1"/>
    <xf numFmtId="42" fontId="6" fillId="19" borderId="1" xfId="0" applyNumberFormat="1" applyFont="1" applyFill="1" applyBorder="1"/>
    <xf numFmtId="42" fontId="6" fillId="22" borderId="0" xfId="0" applyNumberFormat="1" applyFont="1" applyFill="1"/>
    <xf numFmtId="42" fontId="6" fillId="0" borderId="0" xfId="0" applyNumberFormat="1" applyFont="1"/>
    <xf numFmtId="42" fontId="6" fillId="24" borderId="0" xfId="0" applyNumberFormat="1" applyFont="1" applyFill="1"/>
    <xf numFmtId="0" fontId="6" fillId="27" borderId="0" xfId="0" applyFont="1" applyFill="1"/>
    <xf numFmtId="42" fontId="6" fillId="27" borderId="0" xfId="0" applyNumberFormat="1" applyFont="1" applyFill="1"/>
    <xf numFmtId="167" fontId="16" fillId="0" borderId="0" xfId="6" applyFont="1" applyFill="1"/>
    <xf numFmtId="0" fontId="15" fillId="0" borderId="0" xfId="5" applyFont="1" applyAlignment="1">
      <alignment horizontal="left"/>
    </xf>
    <xf numFmtId="167" fontId="15" fillId="0" borderId="0" xfId="6" applyFont="1" applyFill="1"/>
    <xf numFmtId="171" fontId="15" fillId="0" borderId="0" xfId="6" applyNumberFormat="1" applyFont="1" applyFill="1"/>
    <xf numFmtId="0" fontId="15" fillId="0" borderId="42" xfId="5" applyFont="1" applyBorder="1" applyAlignment="1">
      <alignment horizontal="left"/>
    </xf>
    <xf numFmtId="0" fontId="15" fillId="0" borderId="0" xfId="5" applyFont="1" applyAlignment="1">
      <alignment horizontal="center" vertical="center"/>
    </xf>
    <xf numFmtId="167" fontId="15" fillId="0" borderId="0" xfId="6" applyFont="1" applyFill="1" applyBorder="1"/>
    <xf numFmtId="171" fontId="15" fillId="0" borderId="0" xfId="6" applyNumberFormat="1" applyFont="1" applyFill="1" applyBorder="1"/>
    <xf numFmtId="167" fontId="15" fillId="0" borderId="41" xfId="6" applyFont="1" applyFill="1" applyBorder="1"/>
    <xf numFmtId="171" fontId="15" fillId="0" borderId="41" xfId="6" applyNumberFormat="1" applyFont="1" applyFill="1" applyBorder="1"/>
    <xf numFmtId="0" fontId="15" fillId="0" borderId="47" xfId="5" applyFont="1" applyBorder="1"/>
    <xf numFmtId="167" fontId="14" fillId="0" borderId="0" xfId="6" applyFont="1" applyFill="1" applyBorder="1"/>
    <xf numFmtId="171" fontId="16" fillId="0" borderId="0" xfId="5" applyNumberFormat="1" applyFont="1"/>
    <xf numFmtId="0" fontId="15" fillId="0" borderId="36" xfId="5" applyFont="1" applyBorder="1" applyAlignment="1">
      <alignment horizontal="left"/>
    </xf>
    <xf numFmtId="164" fontId="16" fillId="0" borderId="0" xfId="7" applyNumberFormat="1" applyFont="1" applyFill="1"/>
    <xf numFmtId="0" fontId="15" fillId="0" borderId="0" xfId="5" applyFont="1" applyAlignment="1">
      <alignment vertical="top"/>
    </xf>
    <xf numFmtId="171" fontId="15" fillId="0" borderId="0" xfId="5" applyNumberFormat="1" applyFont="1" applyAlignment="1">
      <alignment vertical="top"/>
    </xf>
    <xf numFmtId="167" fontId="16" fillId="0" borderId="0" xfId="6" applyFont="1" applyFill="1" applyAlignment="1">
      <alignment horizontal="right"/>
    </xf>
    <xf numFmtId="9" fontId="16" fillId="0" borderId="0" xfId="3" applyFont="1" applyFill="1"/>
    <xf numFmtId="171" fontId="14" fillId="0" borderId="0" xfId="5" applyNumberFormat="1" applyFont="1"/>
    <xf numFmtId="43" fontId="16" fillId="0" borderId="0" xfId="1" applyFont="1"/>
    <xf numFmtId="165" fontId="16" fillId="0" borderId="0" xfId="1" applyNumberFormat="1" applyFont="1"/>
    <xf numFmtId="0" fontId="0" fillId="0" borderId="42" xfId="0" applyBorder="1"/>
    <xf numFmtId="0" fontId="0" fillId="0" borderId="43" xfId="0" applyBorder="1"/>
    <xf numFmtId="0" fontId="0" fillId="0" borderId="41" xfId="0" applyBorder="1"/>
    <xf numFmtId="0" fontId="16" fillId="0" borderId="0" xfId="9" applyFont="1"/>
    <xf numFmtId="0" fontId="15" fillId="0" borderId="0" xfId="9" applyFont="1"/>
    <xf numFmtId="0" fontId="15" fillId="0" borderId="0" xfId="9" applyFont="1" applyAlignment="1">
      <alignment horizontal="center"/>
    </xf>
    <xf numFmtId="168" fontId="15" fillId="0" borderId="0" xfId="10" applyNumberFormat="1" applyFont="1" applyFill="1"/>
    <xf numFmtId="0" fontId="16" fillId="0" borderId="44" xfId="9" applyFont="1" applyBorder="1"/>
    <xf numFmtId="0" fontId="15" fillId="0" borderId="40" xfId="9" applyFont="1" applyBorder="1"/>
    <xf numFmtId="0" fontId="15" fillId="0" borderId="40" xfId="9" applyFont="1" applyBorder="1" applyAlignment="1">
      <alignment horizontal="center"/>
    </xf>
    <xf numFmtId="168" fontId="15" fillId="0" borderId="40" xfId="10" applyNumberFormat="1" applyFont="1" applyFill="1" applyBorder="1"/>
    <xf numFmtId="0" fontId="16" fillId="0" borderId="40" xfId="9" applyFont="1" applyBorder="1"/>
    <xf numFmtId="0" fontId="16" fillId="0" borderId="45" xfId="9" applyFont="1" applyBorder="1"/>
    <xf numFmtId="0" fontId="16" fillId="0" borderId="42" xfId="9" applyFont="1" applyBorder="1"/>
    <xf numFmtId="0" fontId="16" fillId="0" borderId="43" xfId="9" applyFont="1" applyBorder="1"/>
    <xf numFmtId="0" fontId="14" fillId="0" borderId="0" xfId="9" applyFont="1" applyAlignment="1">
      <alignment horizontal="center"/>
    </xf>
    <xf numFmtId="0" fontId="14" fillId="0" borderId="0" xfId="9" applyFont="1"/>
    <xf numFmtId="168" fontId="22" fillId="0" borderId="0" xfId="10" applyNumberFormat="1" applyFont="1" applyFill="1" applyBorder="1" applyAlignment="1">
      <alignment horizontal="right"/>
    </xf>
    <xf numFmtId="14" fontId="14" fillId="0" borderId="0" xfId="10" applyNumberFormat="1" applyFont="1" applyFill="1" applyBorder="1" applyAlignment="1">
      <alignment horizontal="left"/>
    </xf>
    <xf numFmtId="0" fontId="14" fillId="0" borderId="0" xfId="9" applyFont="1" applyAlignment="1">
      <alignment vertical="center"/>
    </xf>
    <xf numFmtId="0" fontId="14" fillId="0" borderId="0" xfId="9" applyFont="1" applyAlignment="1">
      <alignment horizontal="center" vertical="center"/>
    </xf>
    <xf numFmtId="167" fontId="14" fillId="0" borderId="0" xfId="10" applyFont="1" applyFill="1" applyBorder="1" applyAlignment="1">
      <alignment horizontal="right"/>
    </xf>
    <xf numFmtId="0" fontId="15" fillId="0" borderId="0" xfId="9" applyFont="1" applyAlignment="1">
      <alignment vertical="center"/>
    </xf>
    <xf numFmtId="167" fontId="15" fillId="0" borderId="0" xfId="10" applyFont="1" applyFill="1" applyBorder="1" applyAlignment="1">
      <alignment horizontal="right"/>
    </xf>
    <xf numFmtId="0" fontId="15" fillId="0" borderId="0" xfId="9" applyFont="1" applyAlignment="1">
      <alignment horizontal="center" vertical="center"/>
    </xf>
    <xf numFmtId="0" fontId="16" fillId="0" borderId="0" xfId="9" applyFont="1" applyAlignment="1">
      <alignment horizontal="center"/>
    </xf>
    <xf numFmtId="0" fontId="14" fillId="0" borderId="0" xfId="9" applyFont="1" applyAlignment="1">
      <alignment horizontal="right" vertical="center"/>
    </xf>
    <xf numFmtId="167" fontId="14" fillId="0" borderId="48" xfId="10" applyFont="1" applyFill="1" applyBorder="1" applyAlignment="1">
      <alignment horizontal="right"/>
    </xf>
    <xf numFmtId="0" fontId="15" fillId="0" borderId="41" xfId="9" applyFont="1" applyBorder="1" applyAlignment="1">
      <alignment vertical="center"/>
    </xf>
    <xf numFmtId="0" fontId="15" fillId="0" borderId="41" xfId="9" applyFont="1" applyBorder="1" applyAlignment="1">
      <alignment horizontal="center" vertical="center"/>
    </xf>
    <xf numFmtId="168" fontId="15" fillId="0" borderId="41" xfId="10" applyNumberFormat="1" applyFont="1" applyFill="1" applyBorder="1"/>
    <xf numFmtId="0" fontId="15" fillId="0" borderId="41" xfId="9" applyFont="1" applyBorder="1"/>
    <xf numFmtId="0" fontId="16" fillId="0" borderId="41" xfId="9" applyFont="1" applyBorder="1"/>
    <xf numFmtId="0" fontId="16" fillId="0" borderId="41" xfId="9" applyFont="1" applyBorder="1" applyAlignment="1">
      <alignment horizontal="center"/>
    </xf>
    <xf numFmtId="168" fontId="15" fillId="0" borderId="0" xfId="10" applyNumberFormat="1" applyFont="1" applyFill="1" applyBorder="1"/>
    <xf numFmtId="0" fontId="16" fillId="0" borderId="36" xfId="9" applyFont="1" applyBorder="1"/>
    <xf numFmtId="0" fontId="16" fillId="0" borderId="47" xfId="9" applyFont="1" applyBorder="1"/>
    <xf numFmtId="0" fontId="15" fillId="0" borderId="0" xfId="9" applyFont="1" applyAlignment="1">
      <alignment vertical="top"/>
    </xf>
    <xf numFmtId="0" fontId="15" fillId="0" borderId="0" xfId="9" applyFont="1" applyAlignment="1">
      <alignment horizontal="center" vertical="top"/>
    </xf>
    <xf numFmtId="165" fontId="20" fillId="0" borderId="0" xfId="9" applyNumberFormat="1" applyFont="1"/>
    <xf numFmtId="0" fontId="16" fillId="14" borderId="42" xfId="9" applyFont="1" applyFill="1" applyBorder="1"/>
    <xf numFmtId="0" fontId="16" fillId="14" borderId="36" xfId="9" applyFont="1" applyFill="1" applyBorder="1"/>
    <xf numFmtId="0" fontId="16" fillId="14" borderId="44" xfId="9" applyFont="1" applyFill="1" applyBorder="1"/>
    <xf numFmtId="0" fontId="15" fillId="14" borderId="0" xfId="9" applyFont="1" applyFill="1" applyAlignment="1">
      <alignment vertical="center"/>
    </xf>
    <xf numFmtId="167" fontId="15" fillId="14" borderId="0" xfId="10" applyFont="1" applyFill="1" applyBorder="1" applyAlignment="1">
      <alignment horizontal="right"/>
    </xf>
    <xf numFmtId="0" fontId="16" fillId="14" borderId="45" xfId="9" applyFont="1" applyFill="1" applyBorder="1"/>
    <xf numFmtId="0" fontId="16" fillId="14" borderId="43" xfId="9" applyFont="1" applyFill="1" applyBorder="1"/>
    <xf numFmtId="165" fontId="20" fillId="14" borderId="47" xfId="9" applyNumberFormat="1" applyFont="1" applyFill="1" applyBorder="1"/>
    <xf numFmtId="0" fontId="15" fillId="0" borderId="40" xfId="9" applyFont="1" applyBorder="1" applyAlignment="1">
      <alignment vertical="center"/>
    </xf>
    <xf numFmtId="0" fontId="15" fillId="0" borderId="40" xfId="9" applyFont="1" applyBorder="1" applyAlignment="1">
      <alignment horizontal="center" vertical="center"/>
    </xf>
    <xf numFmtId="0" fontId="16" fillId="0" borderId="40" xfId="9" applyFont="1" applyBorder="1" applyAlignment="1">
      <alignment horizontal="center"/>
    </xf>
    <xf numFmtId="0" fontId="23" fillId="0" borderId="0" xfId="11"/>
    <xf numFmtId="170" fontId="16" fillId="0" borderId="0" xfId="5" applyNumberFormat="1" applyFont="1"/>
    <xf numFmtId="0" fontId="23" fillId="0" borderId="41" xfId="11" applyBorder="1"/>
    <xf numFmtId="172" fontId="23" fillId="0" borderId="41" xfId="11" applyNumberFormat="1" applyBorder="1"/>
    <xf numFmtId="0" fontId="0" fillId="0" borderId="2" xfId="0" applyBorder="1"/>
    <xf numFmtId="165" fontId="0" fillId="0" borderId="2" xfId="1" applyNumberFormat="1" applyFont="1" applyBorder="1"/>
    <xf numFmtId="165" fontId="0" fillId="0" borderId="2" xfId="0" applyNumberFormat="1" applyBorder="1"/>
    <xf numFmtId="0" fontId="2" fillId="29" borderId="33" xfId="0" applyFont="1" applyFill="1" applyBorder="1"/>
    <xf numFmtId="0" fontId="2" fillId="29" borderId="49" xfId="0" applyFont="1" applyFill="1" applyBorder="1"/>
    <xf numFmtId="0" fontId="2" fillId="29" borderId="34" xfId="0" applyFont="1" applyFill="1" applyBorder="1"/>
    <xf numFmtId="0" fontId="2" fillId="0" borderId="2" xfId="0" applyFont="1" applyBorder="1"/>
    <xf numFmtId="43" fontId="0" fillId="0" borderId="2" xfId="0" applyNumberFormat="1" applyBorder="1"/>
    <xf numFmtId="43" fontId="0" fillId="0" borderId="1" xfId="0" applyNumberFormat="1" applyBorder="1"/>
    <xf numFmtId="0" fontId="24" fillId="0" borderId="42" xfId="11" applyFont="1" applyBorder="1" applyAlignment="1">
      <alignment horizontal="right"/>
    </xf>
    <xf numFmtId="0" fontId="2" fillId="0" borderId="43" xfId="0" applyFont="1" applyBorder="1"/>
    <xf numFmtId="0" fontId="23" fillId="0" borderId="42" xfId="11" applyBorder="1"/>
    <xf numFmtId="165" fontId="0" fillId="0" borderId="47" xfId="1" applyNumberFormat="1" applyFont="1" applyBorder="1"/>
    <xf numFmtId="165" fontId="2" fillId="0" borderId="0" xfId="1" applyNumberFormat="1" applyFont="1" applyBorder="1"/>
    <xf numFmtId="0" fontId="26" fillId="0" borderId="0" xfId="11" applyFont="1"/>
    <xf numFmtId="165" fontId="0" fillId="0" borderId="43" xfId="1" applyNumberFormat="1" applyFont="1" applyBorder="1"/>
    <xf numFmtId="173" fontId="0" fillId="0" borderId="47" xfId="0" applyNumberFormat="1" applyBorder="1"/>
    <xf numFmtId="0" fontId="25" fillId="29" borderId="29" xfId="11" applyFont="1" applyFill="1" applyBorder="1" applyAlignment="1">
      <alignment horizontal="right"/>
    </xf>
    <xf numFmtId="172" fontId="0" fillId="0" borderId="1" xfId="0" applyNumberFormat="1" applyBorder="1"/>
    <xf numFmtId="0" fontId="0" fillId="0" borderId="51" xfId="0" applyBorder="1"/>
    <xf numFmtId="43" fontId="0" fillId="0" borderId="52" xfId="0" applyNumberFormat="1" applyBorder="1"/>
    <xf numFmtId="165" fontId="0" fillId="0" borderId="51" xfId="0" applyNumberFormat="1" applyBorder="1"/>
    <xf numFmtId="165" fontId="0" fillId="0" borderId="53" xfId="0" applyNumberFormat="1" applyBorder="1"/>
    <xf numFmtId="0" fontId="24" fillId="29" borderId="56" xfId="11" applyFont="1" applyFill="1" applyBorder="1" applyAlignment="1">
      <alignment horizontal="center"/>
    </xf>
    <xf numFmtId="0" fontId="24" fillId="29" borderId="2" xfId="11" applyFont="1" applyFill="1" applyBorder="1" applyAlignment="1">
      <alignment horizontal="center"/>
    </xf>
    <xf numFmtId="0" fontId="24" fillId="29" borderId="57" xfId="11" applyFont="1" applyFill="1" applyBorder="1" applyAlignment="1">
      <alignment horizontal="center"/>
    </xf>
    <xf numFmtId="172" fontId="0" fillId="0" borderId="54" xfId="0" applyNumberFormat="1" applyBorder="1"/>
    <xf numFmtId="172" fontId="0" fillId="0" borderId="55" xfId="0" applyNumberFormat="1" applyBorder="1"/>
    <xf numFmtId="43" fontId="0" fillId="0" borderId="54" xfId="1" applyFont="1" applyBorder="1"/>
    <xf numFmtId="0" fontId="0" fillId="28" borderId="0" xfId="0" applyFill="1"/>
    <xf numFmtId="0" fontId="27" fillId="13" borderId="0" xfId="0" applyFont="1" applyFill="1" applyAlignment="1">
      <alignment horizontal="center" vertical="center"/>
    </xf>
    <xf numFmtId="0" fontId="28" fillId="13" borderId="0" xfId="0" applyFont="1" applyFill="1"/>
    <xf numFmtId="0" fontId="30" fillId="0" borderId="0" xfId="5" applyFont="1"/>
    <xf numFmtId="9" fontId="30" fillId="0" borderId="0" xfId="5" applyNumberFormat="1" applyFont="1"/>
    <xf numFmtId="0" fontId="29" fillId="0" borderId="42" xfId="5" applyFont="1" applyBorder="1" applyAlignment="1">
      <alignment horizontal="left"/>
    </xf>
    <xf numFmtId="0" fontId="29" fillId="0" borderId="0" xfId="5" applyFont="1"/>
    <xf numFmtId="168" fontId="29" fillId="0" borderId="0" xfId="6" applyNumberFormat="1" applyFont="1" applyBorder="1"/>
    <xf numFmtId="0" fontId="29" fillId="0" borderId="43" xfId="5" applyFont="1" applyBorder="1"/>
    <xf numFmtId="168" fontId="29" fillId="0" borderId="0" xfId="6" applyNumberFormat="1" applyFont="1"/>
    <xf numFmtId="168" fontId="29" fillId="0" borderId="0" xfId="6" applyNumberFormat="1" applyFont="1" applyBorder="1" applyAlignment="1">
      <alignment horizontal="right"/>
    </xf>
    <xf numFmtId="14" fontId="29" fillId="0" borderId="0" xfId="6" applyNumberFormat="1" applyFont="1" applyBorder="1" applyAlignment="1">
      <alignment horizontal="left"/>
    </xf>
    <xf numFmtId="0" fontId="29" fillId="23" borderId="44" xfId="5" applyFont="1" applyFill="1" applyBorder="1" applyAlignment="1">
      <alignment horizontal="left"/>
    </xf>
    <xf numFmtId="0" fontId="29" fillId="0" borderId="40" xfId="5" applyFont="1" applyBorder="1"/>
    <xf numFmtId="168" fontId="29" fillId="0" borderId="40" xfId="6" applyNumberFormat="1" applyFont="1" applyFill="1" applyBorder="1"/>
    <xf numFmtId="0" fontId="29" fillId="23" borderId="45" xfId="5" applyFont="1" applyFill="1" applyBorder="1"/>
    <xf numFmtId="0" fontId="29" fillId="23" borderId="42" xfId="5" applyFont="1" applyFill="1" applyBorder="1" applyAlignment="1">
      <alignment horizontal="left"/>
    </xf>
    <xf numFmtId="164" fontId="29" fillId="0" borderId="0" xfId="7" applyNumberFormat="1" applyFont="1" applyBorder="1"/>
    <xf numFmtId="164" fontId="29" fillId="0" borderId="0" xfId="7" applyNumberFormat="1" applyFont="1" applyBorder="1" applyAlignment="1">
      <alignment horizontal="center"/>
    </xf>
    <xf numFmtId="164" fontId="29" fillId="23" borderId="43" xfId="7" applyNumberFormat="1" applyFont="1" applyFill="1" applyBorder="1"/>
    <xf numFmtId="164" fontId="30" fillId="0" borderId="0" xfId="7" applyNumberFormat="1" applyFont="1"/>
    <xf numFmtId="164" fontId="30" fillId="0" borderId="0" xfId="5" applyNumberFormat="1" applyFont="1"/>
    <xf numFmtId="164" fontId="29" fillId="0" borderId="0" xfId="7" applyNumberFormat="1" applyFont="1"/>
    <xf numFmtId="164" fontId="29" fillId="0" borderId="0" xfId="7" applyNumberFormat="1" applyFont="1" applyFill="1" applyBorder="1" applyAlignment="1">
      <alignment horizontal="center"/>
    </xf>
    <xf numFmtId="164" fontId="29" fillId="0" borderId="0" xfId="7" applyNumberFormat="1" applyFont="1" applyFill="1" applyBorder="1"/>
    <xf numFmtId="170" fontId="30" fillId="0" borderId="0" xfId="5" applyNumberFormat="1" applyFont="1"/>
    <xf numFmtId="164" fontId="29" fillId="0" borderId="3" xfId="7" applyNumberFormat="1" applyFont="1" applyBorder="1"/>
    <xf numFmtId="164" fontId="30" fillId="24" borderId="3" xfId="7" applyNumberFormat="1" applyFont="1" applyFill="1" applyBorder="1"/>
    <xf numFmtId="164" fontId="30" fillId="25" borderId="3" xfId="7" applyNumberFormat="1" applyFont="1" applyFill="1" applyBorder="1"/>
    <xf numFmtId="164" fontId="29" fillId="0" borderId="46" xfId="7" applyNumberFormat="1" applyFont="1" applyBorder="1" applyAlignment="1">
      <alignment horizontal="center"/>
    </xf>
    <xf numFmtId="0" fontId="29" fillId="0" borderId="44" xfId="5" applyFont="1" applyBorder="1" applyAlignment="1">
      <alignment horizontal="left"/>
    </xf>
    <xf numFmtId="168" fontId="29" fillId="0" borderId="40" xfId="6" applyNumberFormat="1" applyFont="1" applyBorder="1"/>
    <xf numFmtId="0" fontId="29" fillId="0" borderId="45" xfId="5" applyFont="1" applyBorder="1"/>
    <xf numFmtId="0" fontId="29" fillId="0" borderId="0" xfId="6" applyNumberFormat="1" applyFont="1" applyFill="1" applyBorder="1" applyAlignment="1">
      <alignment vertical="center"/>
    </xf>
    <xf numFmtId="0" fontId="34" fillId="0" borderId="42" xfId="6" applyNumberFormat="1" applyFont="1" applyFill="1" applyBorder="1" applyAlignment="1">
      <alignment horizontal="left" vertical="center"/>
    </xf>
    <xf numFmtId="167" fontId="34" fillId="0" borderId="43" xfId="6" applyFont="1" applyFill="1" applyBorder="1" applyAlignment="1">
      <alignment horizontal="right"/>
    </xf>
    <xf numFmtId="0" fontId="34" fillId="0" borderId="36" xfId="6" applyNumberFormat="1" applyFont="1" applyFill="1" applyBorder="1" applyAlignment="1">
      <alignment horizontal="left" vertical="center"/>
    </xf>
    <xf numFmtId="49" fontId="29" fillId="0" borderId="41" xfId="5" applyNumberFormat="1" applyFont="1" applyBorder="1" applyAlignment="1">
      <alignment horizontal="center"/>
    </xf>
    <xf numFmtId="0" fontId="34" fillId="0" borderId="41" xfId="5" applyFont="1" applyBorder="1"/>
    <xf numFmtId="167" fontId="34" fillId="0" borderId="47" xfId="6" applyFont="1" applyFill="1" applyBorder="1" applyAlignment="1">
      <alignment horizontal="right"/>
    </xf>
    <xf numFmtId="168" fontId="34" fillId="0" borderId="0" xfId="6" applyNumberFormat="1" applyFont="1" applyBorder="1"/>
    <xf numFmtId="49" fontId="29" fillId="0" borderId="0" xfId="5" applyNumberFormat="1" applyFont="1" applyAlignment="1">
      <alignment horizontal="center"/>
    </xf>
    <xf numFmtId="0" fontId="34" fillId="0" borderId="0" xfId="5" applyFont="1"/>
    <xf numFmtId="0" fontId="34" fillId="0" borderId="0" xfId="8" applyNumberFormat="1" applyFont="1" applyFill="1" applyBorder="1" applyAlignment="1" applyProtection="1">
      <alignment horizontal="left" vertical="center"/>
    </xf>
    <xf numFmtId="167" fontId="34" fillId="0" borderId="0" xfId="6" applyFont="1" applyFill="1" applyBorder="1" applyAlignment="1">
      <alignment horizontal="right"/>
    </xf>
    <xf numFmtId="0" fontId="18" fillId="0" borderId="0" xfId="5" applyFont="1" applyAlignment="1">
      <alignment horizontal="left"/>
    </xf>
    <xf numFmtId="0" fontId="18" fillId="0" borderId="0" xfId="5" applyFont="1"/>
    <xf numFmtId="167" fontId="20" fillId="0" borderId="0" xfId="6" applyFont="1" applyFill="1" applyBorder="1" applyAlignment="1">
      <alignment horizontal="right"/>
    </xf>
    <xf numFmtId="0" fontId="16" fillId="0" borderId="44" xfId="5" applyFont="1" applyBorder="1"/>
    <xf numFmtId="0" fontId="16" fillId="0" borderId="42" xfId="5" applyFont="1" applyBorder="1"/>
    <xf numFmtId="0" fontId="17" fillId="0" borderId="42" xfId="5" applyFont="1" applyBorder="1"/>
    <xf numFmtId="0" fontId="16" fillId="0" borderId="36" xfId="5" applyFont="1" applyBorder="1"/>
    <xf numFmtId="9" fontId="30" fillId="0" borderId="44" xfId="3" applyFont="1" applyBorder="1"/>
    <xf numFmtId="9" fontId="30" fillId="0" borderId="40" xfId="3" applyFont="1" applyBorder="1"/>
    <xf numFmtId="9" fontId="30" fillId="0" borderId="45" xfId="3" applyFont="1" applyBorder="1"/>
    <xf numFmtId="0" fontId="33" fillId="9" borderId="42" xfId="5" applyFont="1" applyFill="1" applyBorder="1"/>
    <xf numFmtId="0" fontId="30" fillId="24" borderId="0" xfId="5" applyFont="1" applyFill="1"/>
    <xf numFmtId="0" fontId="30" fillId="25" borderId="0" xfId="5" applyFont="1" applyFill="1"/>
    <xf numFmtId="0" fontId="30" fillId="26" borderId="43" xfId="5" applyFont="1" applyFill="1" applyBorder="1"/>
    <xf numFmtId="169" fontId="33" fillId="9" borderId="42" xfId="7" applyFont="1" applyFill="1" applyBorder="1"/>
    <xf numFmtId="169" fontId="30" fillId="24" borderId="0" xfId="7" applyFont="1" applyFill="1" applyBorder="1"/>
    <xf numFmtId="169" fontId="30" fillId="25" borderId="0" xfId="7" applyFont="1" applyFill="1" applyBorder="1"/>
    <xf numFmtId="169" fontId="30" fillId="26" borderId="43" xfId="7" applyFont="1" applyFill="1" applyBorder="1"/>
    <xf numFmtId="164" fontId="33" fillId="9" borderId="42" xfId="7" applyNumberFormat="1" applyFont="1" applyFill="1" applyBorder="1"/>
    <xf numFmtId="164" fontId="30" fillId="24" borderId="0" xfId="7" applyNumberFormat="1" applyFont="1" applyFill="1" applyBorder="1"/>
    <xf numFmtId="164" fontId="30" fillId="25" borderId="0" xfId="7" applyNumberFormat="1" applyFont="1" applyFill="1" applyBorder="1"/>
    <xf numFmtId="164" fontId="30" fillId="26" borderId="43" xfId="7" applyNumberFormat="1" applyFont="1" applyFill="1" applyBorder="1"/>
    <xf numFmtId="170" fontId="33" fillId="9" borderId="42" xfId="7" applyNumberFormat="1" applyFont="1" applyFill="1" applyBorder="1"/>
    <xf numFmtId="164" fontId="33" fillId="9" borderId="60" xfId="7" applyNumberFormat="1" applyFont="1" applyFill="1" applyBorder="1"/>
    <xf numFmtId="164" fontId="30" fillId="26" borderId="61" xfId="7" applyNumberFormat="1" applyFont="1" applyFill="1" applyBorder="1"/>
    <xf numFmtId="164" fontId="33" fillId="9" borderId="62" xfId="7" applyNumberFormat="1" applyFont="1" applyFill="1" applyBorder="1" applyAlignment="1">
      <alignment horizontal="center"/>
    </xf>
    <xf numFmtId="164" fontId="29" fillId="24" borderId="63" xfId="7" applyNumberFormat="1" applyFont="1" applyFill="1" applyBorder="1" applyAlignment="1">
      <alignment horizontal="center"/>
    </xf>
    <xf numFmtId="164" fontId="29" fillId="25" borderId="63" xfId="7" applyNumberFormat="1" applyFont="1" applyFill="1" applyBorder="1" applyAlignment="1">
      <alignment horizontal="center"/>
    </xf>
    <xf numFmtId="164" fontId="29" fillId="26" borderId="64" xfId="7" applyNumberFormat="1" applyFont="1" applyFill="1" applyBorder="1" applyAlignment="1">
      <alignment horizontal="center"/>
    </xf>
    <xf numFmtId="0" fontId="15" fillId="0" borderId="44" xfId="5" applyFont="1" applyBorder="1" applyAlignment="1">
      <alignment horizontal="left"/>
    </xf>
    <xf numFmtId="167" fontId="15" fillId="0" borderId="40" xfId="6" applyFont="1" applyFill="1" applyBorder="1"/>
    <xf numFmtId="171" fontId="15" fillId="0" borderId="40" xfId="6" applyNumberFormat="1" applyFont="1" applyFill="1" applyBorder="1"/>
    <xf numFmtId="0" fontId="16" fillId="0" borderId="45" xfId="5" applyFont="1" applyBorder="1"/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0" fillId="12" borderId="6" xfId="0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0" fillId="6" borderId="6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9" borderId="0" xfId="0" applyFill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10" borderId="0" xfId="0" applyFill="1" applyAlignment="1">
      <alignment horizontal="center" wrapText="1"/>
    </xf>
    <xf numFmtId="0" fontId="2" fillId="0" borderId="8" xfId="0" applyFont="1" applyBorder="1" applyAlignment="1">
      <alignment horizontal="center"/>
    </xf>
    <xf numFmtId="0" fontId="2" fillId="7" borderId="0" xfId="0" applyFont="1" applyFill="1" applyAlignment="1">
      <alignment horizontal="center" wrapText="1"/>
    </xf>
    <xf numFmtId="0" fontId="2" fillId="11" borderId="1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0" fontId="2" fillId="11" borderId="8" xfId="0" applyFont="1" applyFill="1" applyBorder="1" applyAlignment="1">
      <alignment horizontal="center"/>
    </xf>
    <xf numFmtId="0" fontId="2" fillId="5" borderId="0" xfId="0" applyFont="1" applyFill="1" applyAlignment="1">
      <alignment horizontal="center" wrapText="1"/>
    </xf>
    <xf numFmtId="0" fontId="0" fillId="7" borderId="1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42" fontId="7" fillId="0" borderId="1" xfId="4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42" fontId="8" fillId="15" borderId="3" xfId="4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42" fontId="9" fillId="5" borderId="3" xfId="4" applyFont="1" applyFill="1" applyBorder="1" applyAlignment="1">
      <alignment horizontal="center" vertical="center"/>
    </xf>
    <xf numFmtId="0" fontId="10" fillId="0" borderId="22" xfId="0" applyFont="1" applyBorder="1" applyAlignment="1">
      <alignment horizontal="left" wrapText="1"/>
    </xf>
    <xf numFmtId="0" fontId="10" fillId="0" borderId="23" xfId="0" applyFont="1" applyBorder="1" applyAlignment="1">
      <alignment horizontal="left" wrapText="1"/>
    </xf>
    <xf numFmtId="0" fontId="0" fillId="16" borderId="0" xfId="0" applyFill="1" applyAlignment="1">
      <alignment horizontal="center"/>
    </xf>
    <xf numFmtId="0" fontId="0" fillId="15" borderId="0" xfId="0" applyFill="1" applyAlignment="1">
      <alignment horizontal="center" wrapText="1"/>
    </xf>
    <xf numFmtId="0" fontId="2" fillId="17" borderId="1" xfId="0" applyFont="1" applyFill="1" applyBorder="1" applyAlignment="1">
      <alignment horizontal="center"/>
    </xf>
    <xf numFmtId="0" fontId="6" fillId="24" borderId="1" xfId="0" applyFont="1" applyFill="1" applyBorder="1" applyAlignment="1">
      <alignment horizontal="center" wrapText="1"/>
    </xf>
    <xf numFmtId="0" fontId="6" fillId="22" borderId="1" xfId="0" applyFont="1" applyFill="1" applyBorder="1" applyAlignment="1">
      <alignment horizontal="center" wrapText="1"/>
    </xf>
    <xf numFmtId="0" fontId="6" fillId="19" borderId="1" xfId="0" applyFont="1" applyFill="1" applyBorder="1" applyAlignment="1">
      <alignment horizontal="center" wrapText="1"/>
    </xf>
    <xf numFmtId="0" fontId="2" fillId="29" borderId="30" xfId="0" applyFont="1" applyFill="1" applyBorder="1" applyAlignment="1">
      <alignment horizontal="center"/>
    </xf>
    <xf numFmtId="0" fontId="2" fillId="29" borderId="50" xfId="0" applyFont="1" applyFill="1" applyBorder="1" applyAlignment="1">
      <alignment horizontal="center"/>
    </xf>
    <xf numFmtId="0" fontId="2" fillId="29" borderId="37" xfId="0" applyFont="1" applyFill="1" applyBorder="1" applyAlignment="1">
      <alignment horizontal="center"/>
    </xf>
    <xf numFmtId="0" fontId="24" fillId="29" borderId="33" xfId="11" applyFont="1" applyFill="1" applyBorder="1" applyAlignment="1">
      <alignment horizontal="center"/>
    </xf>
    <xf numFmtId="0" fontId="24" fillId="29" borderId="49" xfId="11" applyFont="1" applyFill="1" applyBorder="1" applyAlignment="1">
      <alignment horizontal="center"/>
    </xf>
    <xf numFmtId="0" fontId="24" fillId="29" borderId="34" xfId="11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29" fillId="0" borderId="41" xfId="5" applyFont="1" applyBorder="1" applyAlignment="1">
      <alignment horizontal="center" vertical="center" wrapText="1"/>
    </xf>
    <xf numFmtId="0" fontId="29" fillId="0" borderId="0" xfId="6" applyNumberFormat="1" applyFont="1" applyBorder="1" applyAlignment="1">
      <alignment horizontal="center"/>
    </xf>
    <xf numFmtId="167" fontId="29" fillId="0" borderId="0" xfId="6" applyFont="1" applyFill="1" applyBorder="1" applyAlignment="1">
      <alignment horizontal="center"/>
    </xf>
    <xf numFmtId="0" fontId="29" fillId="0" borderId="0" xfId="5" applyFont="1" applyAlignment="1">
      <alignment horizontal="center" vertical="center" wrapText="1"/>
    </xf>
    <xf numFmtId="0" fontId="32" fillId="26" borderId="59" xfId="0" applyFont="1" applyFill="1" applyBorder="1" applyAlignment="1">
      <alignment horizontal="center" vertical="center" wrapText="1"/>
    </xf>
    <xf numFmtId="0" fontId="32" fillId="26" borderId="57" xfId="0" applyFont="1" applyFill="1" applyBorder="1" applyAlignment="1">
      <alignment horizontal="center" vertical="center" wrapText="1"/>
    </xf>
    <xf numFmtId="0" fontId="32" fillId="25" borderId="4" xfId="0" applyFont="1" applyFill="1" applyBorder="1" applyAlignment="1">
      <alignment horizontal="center" vertical="center" wrapText="1"/>
    </xf>
    <xf numFmtId="0" fontId="32" fillId="25" borderId="2" xfId="0" applyFont="1" applyFill="1" applyBorder="1" applyAlignment="1">
      <alignment horizontal="center" vertical="center" wrapText="1"/>
    </xf>
    <xf numFmtId="0" fontId="15" fillId="0" borderId="41" xfId="5" applyFont="1" applyBorder="1" applyAlignment="1">
      <alignment horizontal="center"/>
    </xf>
    <xf numFmtId="49" fontId="14" fillId="0" borderId="42" xfId="5" applyNumberFormat="1" applyFont="1" applyBorder="1" applyAlignment="1">
      <alignment horizontal="center"/>
    </xf>
    <xf numFmtId="49" fontId="14" fillId="0" borderId="0" xfId="5" applyNumberFormat="1" applyFont="1" applyAlignment="1">
      <alignment horizontal="center"/>
    </xf>
    <xf numFmtId="49" fontId="14" fillId="0" borderId="43" xfId="5" applyNumberFormat="1" applyFont="1" applyBorder="1" applyAlignment="1">
      <alignment horizontal="center"/>
    </xf>
    <xf numFmtId="0" fontId="29" fillId="0" borderId="42" xfId="5" applyFont="1" applyBorder="1" applyAlignment="1">
      <alignment horizontal="center"/>
    </xf>
    <xf numFmtId="0" fontId="29" fillId="0" borderId="0" xfId="5" applyFont="1" applyAlignment="1">
      <alignment horizontal="center"/>
    </xf>
    <xf numFmtId="0" fontId="29" fillId="0" borderId="43" xfId="5" applyFont="1" applyBorder="1" applyAlignment="1">
      <alignment horizontal="center"/>
    </xf>
    <xf numFmtId="14" fontId="29" fillId="0" borderId="42" xfId="5" applyNumberFormat="1" applyFont="1" applyBorder="1" applyAlignment="1">
      <alignment horizontal="center"/>
    </xf>
    <xf numFmtId="0" fontId="31" fillId="9" borderId="58" xfId="0" applyFont="1" applyFill="1" applyBorder="1" applyAlignment="1">
      <alignment horizontal="center" vertical="center" wrapText="1"/>
    </xf>
    <xf numFmtId="0" fontId="31" fillId="9" borderId="56" xfId="0" applyFont="1" applyFill="1" applyBorder="1" applyAlignment="1">
      <alignment horizontal="center" vertical="center" wrapText="1"/>
    </xf>
    <xf numFmtId="0" fontId="31" fillId="24" borderId="4" xfId="0" applyFont="1" applyFill="1" applyBorder="1" applyAlignment="1">
      <alignment horizontal="center" vertical="center" wrapText="1"/>
    </xf>
    <xf numFmtId="0" fontId="31" fillId="24" borderId="2" xfId="0" applyFont="1" applyFill="1" applyBorder="1" applyAlignment="1">
      <alignment horizontal="center" vertical="center" wrapText="1"/>
    </xf>
    <xf numFmtId="0" fontId="14" fillId="0" borderId="0" xfId="5" applyFont="1" applyAlignment="1">
      <alignment horizontal="center"/>
    </xf>
    <xf numFmtId="0" fontId="15" fillId="0" borderId="0" xfId="5" applyFont="1" applyAlignment="1">
      <alignment horizontal="center"/>
    </xf>
    <xf numFmtId="167" fontId="14" fillId="0" borderId="0" xfId="6" applyFont="1" applyFill="1" applyBorder="1" applyAlignment="1">
      <alignment horizontal="center"/>
    </xf>
    <xf numFmtId="0" fontId="14" fillId="0" borderId="0" xfId="5" applyFont="1" applyAlignment="1">
      <alignment horizontal="center" vertical="center" wrapText="1"/>
    </xf>
    <xf numFmtId="49" fontId="14" fillId="0" borderId="41" xfId="5" applyNumberFormat="1" applyFont="1" applyBorder="1" applyAlignment="1">
      <alignment horizontal="center"/>
    </xf>
    <xf numFmtId="0" fontId="14" fillId="0" borderId="0" xfId="6" applyNumberFormat="1" applyFont="1" applyFill="1" applyBorder="1" applyAlignment="1">
      <alignment horizontal="center" vertical="center"/>
    </xf>
    <xf numFmtId="49" fontId="14" fillId="0" borderId="47" xfId="5" applyNumberFormat="1" applyFont="1" applyBorder="1" applyAlignment="1">
      <alignment horizontal="center"/>
    </xf>
    <xf numFmtId="49" fontId="14" fillId="0" borderId="0" xfId="9" applyNumberFormat="1" applyFont="1" applyAlignment="1">
      <alignment horizontal="center"/>
    </xf>
    <xf numFmtId="0" fontId="14" fillId="0" borderId="0" xfId="9" applyFont="1" applyAlignment="1">
      <alignment horizontal="center"/>
    </xf>
    <xf numFmtId="49" fontId="35" fillId="0" borderId="42" xfId="5" applyNumberFormat="1" applyFont="1" applyBorder="1" applyAlignment="1">
      <alignment horizontal="center"/>
    </xf>
    <xf numFmtId="49" fontId="35" fillId="0" borderId="0" xfId="5" applyNumberFormat="1" applyFont="1" applyAlignment="1">
      <alignment horizontal="center"/>
    </xf>
    <xf numFmtId="49" fontId="35" fillId="0" borderId="43" xfId="5" applyNumberFormat="1" applyFont="1" applyBorder="1" applyAlignment="1">
      <alignment horizontal="center"/>
    </xf>
    <xf numFmtId="0" fontId="30" fillId="0" borderId="43" xfId="5" applyFont="1" applyBorder="1"/>
    <xf numFmtId="167" fontId="30" fillId="0" borderId="0" xfId="6" applyFont="1" applyFill="1"/>
    <xf numFmtId="0" fontId="35" fillId="0" borderId="42" xfId="5" applyFont="1" applyBorder="1" applyAlignment="1">
      <alignment horizontal="center"/>
    </xf>
    <xf numFmtId="0" fontId="35" fillId="0" borderId="0" xfId="5" applyFont="1" applyAlignment="1">
      <alignment horizontal="center"/>
    </xf>
    <xf numFmtId="0" fontId="35" fillId="0" borderId="43" xfId="5" applyFont="1" applyBorder="1" applyAlignment="1">
      <alignment horizontal="center"/>
    </xf>
    <xf numFmtId="0" fontId="29" fillId="0" borderId="42" xfId="5" applyFont="1" applyBorder="1" applyAlignment="1">
      <alignment horizontal="center" vertical="center"/>
    </xf>
    <xf numFmtId="0" fontId="29" fillId="0" borderId="0" xfId="5" applyFont="1" applyAlignment="1">
      <alignment horizontal="center" vertical="center"/>
    </xf>
    <xf numFmtId="167" fontId="29" fillId="0" borderId="0" xfId="6" applyFont="1" applyFill="1" applyBorder="1"/>
    <xf numFmtId="171" fontId="29" fillId="0" borderId="0" xfId="6" applyNumberFormat="1" applyFont="1" applyFill="1" applyBorder="1"/>
    <xf numFmtId="9" fontId="30" fillId="0" borderId="0" xfId="3" applyFont="1" applyFill="1"/>
    <xf numFmtId="0" fontId="35" fillId="0" borderId="0" xfId="5" applyFont="1"/>
    <xf numFmtId="167" fontId="35" fillId="0" borderId="0" xfId="6" applyFont="1" applyFill="1" applyBorder="1" applyAlignment="1">
      <alignment horizontal="right"/>
    </xf>
    <xf numFmtId="14" fontId="35" fillId="0" borderId="0" xfId="6" applyNumberFormat="1" applyFont="1" applyFill="1" applyBorder="1" applyAlignment="1">
      <alignment horizontal="left"/>
    </xf>
    <xf numFmtId="0" fontId="36" fillId="9" borderId="9" xfId="0" applyFont="1" applyFill="1" applyBorder="1" applyAlignment="1">
      <alignment horizontal="center" vertical="center" wrapText="1"/>
    </xf>
    <xf numFmtId="0" fontId="36" fillId="24" borderId="4" xfId="0" applyFont="1" applyFill="1" applyBorder="1" applyAlignment="1">
      <alignment horizontal="center" vertical="center" wrapText="1"/>
    </xf>
    <xf numFmtId="0" fontId="37" fillId="25" borderId="4" xfId="0" applyFont="1" applyFill="1" applyBorder="1" applyAlignment="1">
      <alignment horizontal="center" vertical="center" wrapText="1"/>
    </xf>
    <xf numFmtId="0" fontId="37" fillId="5" borderId="4" xfId="0" applyFont="1" applyFill="1" applyBorder="1" applyAlignment="1">
      <alignment horizontal="center" vertical="center" wrapText="1"/>
    </xf>
    <xf numFmtId="0" fontId="29" fillId="0" borderId="36" xfId="5" applyFont="1" applyBorder="1" applyAlignment="1">
      <alignment horizontal="center" vertical="center"/>
    </xf>
    <xf numFmtId="0" fontId="29" fillId="0" borderId="41" xfId="5" applyFont="1" applyBorder="1"/>
    <xf numFmtId="0" fontId="29" fillId="0" borderId="41" xfId="5" applyFont="1" applyBorder="1" applyAlignment="1">
      <alignment horizontal="center" vertical="center"/>
    </xf>
    <xf numFmtId="167" fontId="29" fillId="0" borderId="41" xfId="6" applyFont="1" applyFill="1" applyBorder="1"/>
    <xf numFmtId="171" fontId="29" fillId="0" borderId="41" xfId="6" applyNumberFormat="1" applyFont="1" applyFill="1" applyBorder="1"/>
    <xf numFmtId="0" fontId="29" fillId="0" borderId="47" xfId="5" applyFont="1" applyBorder="1"/>
    <xf numFmtId="0" fontId="30" fillId="0" borderId="47" xfId="5" applyFont="1" applyBorder="1"/>
    <xf numFmtId="0" fontId="36" fillId="9" borderId="65" xfId="0" applyFont="1" applyFill="1" applyBorder="1" applyAlignment="1">
      <alignment horizontal="center" vertical="center" wrapText="1"/>
    </xf>
    <xf numFmtId="0" fontId="36" fillId="24" borderId="2" xfId="0" applyFont="1" applyFill="1" applyBorder="1" applyAlignment="1">
      <alignment horizontal="center" vertical="center" wrapText="1"/>
    </xf>
    <xf numFmtId="0" fontId="37" fillId="25" borderId="2" xfId="0" applyFont="1" applyFill="1" applyBorder="1" applyAlignment="1">
      <alignment horizontal="center" vertical="center" wrapText="1"/>
    </xf>
    <xf numFmtId="0" fontId="37" fillId="5" borderId="2" xfId="0" applyFont="1" applyFill="1" applyBorder="1" applyAlignment="1">
      <alignment horizontal="center" vertical="center" wrapText="1"/>
    </xf>
    <xf numFmtId="0" fontId="33" fillId="9" borderId="0" xfId="5" applyFont="1" applyFill="1"/>
    <xf numFmtId="0" fontId="30" fillId="5" borderId="0" xfId="5" applyFont="1" applyFill="1"/>
    <xf numFmtId="169" fontId="33" fillId="9" borderId="0" xfId="7" applyFont="1" applyFill="1" applyBorder="1"/>
    <xf numFmtId="169" fontId="30" fillId="5" borderId="0" xfId="7" applyFont="1" applyFill="1" applyBorder="1"/>
    <xf numFmtId="171" fontId="35" fillId="0" borderId="0" xfId="6" applyNumberFormat="1" applyFont="1" applyFill="1" applyBorder="1"/>
    <xf numFmtId="164" fontId="33" fillId="9" borderId="0" xfId="7" applyNumberFormat="1" applyFont="1" applyFill="1" applyBorder="1"/>
    <xf numFmtId="164" fontId="30" fillId="5" borderId="0" xfId="7" applyNumberFormat="1" applyFont="1" applyFill="1" applyBorder="1"/>
    <xf numFmtId="167" fontId="30" fillId="0" borderId="0" xfId="6" applyFont="1" applyFill="1" applyBorder="1"/>
    <xf numFmtId="167" fontId="35" fillId="0" borderId="0" xfId="6" applyFont="1" applyFill="1" applyBorder="1"/>
    <xf numFmtId="164" fontId="33" fillId="9" borderId="41" xfId="7" applyNumberFormat="1" applyFont="1" applyFill="1" applyBorder="1"/>
    <xf numFmtId="164" fontId="30" fillId="24" borderId="41" xfId="7" applyNumberFormat="1" applyFont="1" applyFill="1" applyBorder="1"/>
    <xf numFmtId="164" fontId="30" fillId="25" borderId="41" xfId="7" applyNumberFormat="1" applyFont="1" applyFill="1" applyBorder="1"/>
    <xf numFmtId="164" fontId="30" fillId="5" borderId="41" xfId="7" applyNumberFormat="1" applyFont="1" applyFill="1" applyBorder="1"/>
    <xf numFmtId="164" fontId="38" fillId="9" borderId="0" xfId="7" applyNumberFormat="1" applyFont="1" applyFill="1"/>
    <xf numFmtId="164" fontId="39" fillId="24" borderId="0" xfId="7" applyNumberFormat="1" applyFont="1" applyFill="1"/>
    <xf numFmtId="164" fontId="39" fillId="25" borderId="0" xfId="7" applyNumberFormat="1" applyFont="1" applyFill="1"/>
    <xf numFmtId="164" fontId="39" fillId="5" borderId="0" xfId="7" applyNumberFormat="1" applyFont="1" applyFill="1"/>
    <xf numFmtId="164" fontId="33" fillId="9" borderId="0" xfId="7" applyNumberFormat="1" applyFont="1" applyFill="1"/>
    <xf numFmtId="164" fontId="30" fillId="24" borderId="0" xfId="7" applyNumberFormat="1" applyFont="1" applyFill="1"/>
    <xf numFmtId="164" fontId="30" fillId="25" borderId="0" xfId="7" applyNumberFormat="1" applyFont="1" applyFill="1"/>
    <xf numFmtId="164" fontId="30" fillId="5" borderId="0" xfId="7" applyNumberFormat="1" applyFont="1" applyFill="1"/>
    <xf numFmtId="49" fontId="30" fillId="0" borderId="0" xfId="5" applyNumberFormat="1" applyFont="1"/>
    <xf numFmtId="49" fontId="39" fillId="0" borderId="0" xfId="5" applyNumberFormat="1" applyFont="1"/>
    <xf numFmtId="0" fontId="35" fillId="0" borderId="0" xfId="6" applyNumberFormat="1" applyFont="1" applyFill="1" applyBorder="1"/>
    <xf numFmtId="164" fontId="38" fillId="9" borderId="0" xfId="7" applyNumberFormat="1" applyFont="1" applyFill="1" applyBorder="1"/>
    <xf numFmtId="164" fontId="39" fillId="24" borderId="0" xfId="7" applyNumberFormat="1" applyFont="1" applyFill="1" applyBorder="1"/>
    <xf numFmtId="164" fontId="39" fillId="25" borderId="0" xfId="7" applyNumberFormat="1" applyFont="1" applyFill="1" applyBorder="1"/>
    <xf numFmtId="164" fontId="39" fillId="5" borderId="0" xfId="7" applyNumberFormat="1" applyFont="1" applyFill="1" applyBorder="1"/>
    <xf numFmtId="0" fontId="35" fillId="0" borderId="0" xfId="5" applyFont="1" applyAlignment="1">
      <alignment horizontal="center" vertical="center"/>
    </xf>
    <xf numFmtId="171" fontId="35" fillId="0" borderId="48" xfId="6" applyNumberFormat="1" applyFont="1" applyFill="1" applyBorder="1"/>
    <xf numFmtId="164" fontId="38" fillId="9" borderId="46" xfId="7" applyNumberFormat="1" applyFont="1" applyFill="1" applyBorder="1" applyAlignment="1">
      <alignment horizontal="center"/>
    </xf>
    <xf numFmtId="164" fontId="35" fillId="24" borderId="46" xfId="7" applyNumberFormat="1" applyFont="1" applyFill="1" applyBorder="1" applyAlignment="1">
      <alignment horizontal="center"/>
    </xf>
    <xf numFmtId="164" fontId="35" fillId="25" borderId="46" xfId="7" applyNumberFormat="1" applyFont="1" applyFill="1" applyBorder="1" applyAlignment="1">
      <alignment horizontal="center"/>
    </xf>
    <xf numFmtId="164" fontId="35" fillId="5" borderId="46" xfId="7" applyNumberFormat="1" applyFont="1" applyFill="1" applyBorder="1" applyAlignment="1">
      <alignment horizontal="center"/>
    </xf>
  </cellXfs>
  <cellStyles count="13">
    <cellStyle name="Hipervínculo" xfId="8" builtinId="8"/>
    <cellStyle name="Millares" xfId="1" builtinId="3"/>
    <cellStyle name="Millares 2" xfId="6" xr:uid="{5C2C8895-187D-4E94-8A55-85AC76FC13F9}"/>
    <cellStyle name="Millares 3" xfId="10" xr:uid="{580848F5-34BF-463B-9B21-D4B446C2F0E6}"/>
    <cellStyle name="Millares 4" xfId="12" xr:uid="{024D3F47-4AD7-4F71-A2A3-62B5DBC9BDB9}"/>
    <cellStyle name="Moneda" xfId="2" builtinId="4"/>
    <cellStyle name="Moneda [0]" xfId="4" builtinId="7"/>
    <cellStyle name="Moneda 2" xfId="7" xr:uid="{2152FFB7-89D5-4DFF-9FF9-1025EB1DB702}"/>
    <cellStyle name="Normal" xfId="0" builtinId="0"/>
    <cellStyle name="Normal 2" xfId="5" xr:uid="{B6F8CC32-A545-4284-A38E-FBD92BE46363}"/>
    <cellStyle name="Normal 3" xfId="9" xr:uid="{7DF577E1-BE1B-4DCC-B115-57AF7BB2E451}"/>
    <cellStyle name="Normal 4" xfId="11" xr:uid="{9FC4C454-F33A-4CED-AC6B-3ED10ACC0671}"/>
    <cellStyle name="Porcentaje" xfId="3" builtinId="5"/>
  </cellStyles>
  <dxfs count="0"/>
  <tableStyles count="0" defaultTableStyle="TableStyleMedium2" defaultPivotStyle="PivotStyleLight16"/>
  <colors>
    <mruColors>
      <color rgb="FFEEF8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/>
              <a:t>Punto de Equilibrio (Acemas)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'PUNTO DE EQUILIBRIO'!$B$17:$B$18</c:f>
              <c:strCache>
                <c:ptCount val="2"/>
                <c:pt idx="0">
                  <c:v>ACEMAS</c:v>
                </c:pt>
                <c:pt idx="1">
                  <c:v>INGRESOS (VENTAS)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'PUNTO DE EQUILIBRIO'!$A$19:$A$23</c:f>
              <c:numCache>
                <c:formatCode>_-* #,##0_-;\-* #,##0_-;_-* "-"??_-;_-@_-</c:formatCode>
                <c:ptCount val="5"/>
                <c:pt idx="0" formatCode="General">
                  <c:v>0</c:v>
                </c:pt>
                <c:pt idx="1">
                  <c:v>13493.408910382506</c:v>
                </c:pt>
                <c:pt idx="2">
                  <c:v>26986.817820765013</c:v>
                </c:pt>
                <c:pt idx="3">
                  <c:v>40480.226731147515</c:v>
                </c:pt>
                <c:pt idx="4">
                  <c:v>53973.635641530025</c:v>
                </c:pt>
              </c:numCache>
            </c:numRef>
          </c:xVal>
          <c:yVal>
            <c:numRef>
              <c:f>'PUNTO DE EQUILIBRIO'!$B$19:$B$23</c:f>
              <c:numCache>
                <c:formatCode>_-* #,##0_-;\-* #,##0_-;_-* "-"??_-;_-@_-</c:formatCode>
                <c:ptCount val="5"/>
                <c:pt idx="0" formatCode="_(* #,##0.00_);_(* \(#,##0.00\);_(* &quot;-&quot;??_);_(@_)">
                  <c:v>0</c:v>
                </c:pt>
                <c:pt idx="1">
                  <c:v>5306096.4888888886</c:v>
                </c:pt>
                <c:pt idx="2">
                  <c:v>10612192.977777777</c:v>
                </c:pt>
                <c:pt idx="3">
                  <c:v>15918289.466666665</c:v>
                </c:pt>
                <c:pt idx="4" formatCode="_(* #,##0.00_);_(* \(#,##0.00\);_(* &quot;-&quot;??_);_(@_)">
                  <c:v>21224385.955555554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5C-4DCE-B36F-EC37C8786F6D}"/>
            </c:ext>
          </c:extLst>
        </c:ser>
        <c:ser>
          <c:idx val="1"/>
          <c:order val="1"/>
          <c:tx>
            <c:strRef>
              <c:f>'PUNTO DE EQUILIBRIO'!$C$17:$C$18</c:f>
              <c:strCache>
                <c:ptCount val="2"/>
                <c:pt idx="0">
                  <c:v>ACEMAS</c:v>
                </c:pt>
                <c:pt idx="1">
                  <c:v>INVERSIÓN (CT + GT)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'PUNTO DE EQUILIBRIO'!$A$19:$A$23</c:f>
              <c:numCache>
                <c:formatCode>_-* #,##0_-;\-* #,##0_-;_-* "-"??_-;_-@_-</c:formatCode>
                <c:ptCount val="5"/>
                <c:pt idx="0" formatCode="General">
                  <c:v>0</c:v>
                </c:pt>
                <c:pt idx="1">
                  <c:v>13493.408910382506</c:v>
                </c:pt>
                <c:pt idx="2">
                  <c:v>26986.817820765013</c:v>
                </c:pt>
                <c:pt idx="3">
                  <c:v>40480.226731147515</c:v>
                </c:pt>
                <c:pt idx="4">
                  <c:v>53973.635641530025</c:v>
                </c:pt>
              </c:numCache>
            </c:numRef>
          </c:xVal>
          <c:yVal>
            <c:numRef>
              <c:f>'PUNTO DE EQUILIBRIO'!$C$19:$C$23</c:f>
              <c:numCache>
                <c:formatCode>_-[$$-240A]\ * #,##0.00_-;\-[$$-240A]\ * #,##0.00_-;_-[$$-240A]\ * "-"??_-;_-@_-</c:formatCode>
                <c:ptCount val="5"/>
                <c:pt idx="0" formatCode="_(* #,##0.00_);_(* \(#,##0.00\);_(* &quot;-&quot;??_);_(@_)">
                  <c:v>3293439.2</c:v>
                </c:pt>
                <c:pt idx="1">
                  <c:v>6952816.0888888892</c:v>
                </c:pt>
                <c:pt idx="2">
                  <c:v>10612192.977777777</c:v>
                </c:pt>
                <c:pt idx="3">
                  <c:v>14271569.866666663</c:v>
                </c:pt>
                <c:pt idx="4">
                  <c:v>17930946.755555555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5C-4DCE-B36F-EC37C8786F6D}"/>
            </c:ext>
          </c:extLst>
        </c:ser>
        <c:ser>
          <c:idx val="2"/>
          <c:order val="2"/>
          <c:tx>
            <c:strRef>
              <c:f>'PUNTO DE EQUILIBRIO'!$D$17:$D$18</c:f>
              <c:strCache>
                <c:ptCount val="2"/>
                <c:pt idx="0">
                  <c:v>ACEMAS</c:v>
                </c:pt>
                <c:pt idx="1">
                  <c:v>UTILIDAD</c:v>
                </c:pt>
              </c:strCache>
            </c:strRef>
          </c:tx>
          <c:spPr>
            <a:ln w="95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'PUNTO DE EQUILIBRIO'!$A$19:$A$23</c:f>
              <c:numCache>
                <c:formatCode>_-* #,##0_-;\-* #,##0_-;_-* "-"??_-;_-@_-</c:formatCode>
                <c:ptCount val="5"/>
                <c:pt idx="0" formatCode="General">
                  <c:v>0</c:v>
                </c:pt>
                <c:pt idx="1">
                  <c:v>13493.408910382506</c:v>
                </c:pt>
                <c:pt idx="2">
                  <c:v>26986.817820765013</c:v>
                </c:pt>
                <c:pt idx="3">
                  <c:v>40480.226731147515</c:v>
                </c:pt>
                <c:pt idx="4">
                  <c:v>53973.635641530025</c:v>
                </c:pt>
              </c:numCache>
            </c:numRef>
          </c:xVal>
          <c:yVal>
            <c:numRef>
              <c:f>'PUNTO DE EQUILIBRIO'!$D$19:$D$23</c:f>
              <c:numCache>
                <c:formatCode>_(* #,##0.00_);_(* \(#,##0.00\);_(* "-"??_);_(@_)</c:formatCode>
                <c:ptCount val="5"/>
                <c:pt idx="0">
                  <c:v>-3293439.2</c:v>
                </c:pt>
                <c:pt idx="1">
                  <c:v>-1646719.6000000006</c:v>
                </c:pt>
                <c:pt idx="2">
                  <c:v>0</c:v>
                </c:pt>
                <c:pt idx="3">
                  <c:v>1646719.6000000015</c:v>
                </c:pt>
                <c:pt idx="4" formatCode="_-[$$-240A]\ * #,##0.00_-;\-[$$-240A]\ * #,##0.00_-;_-[$$-240A]\ * &quot;-&quot;??_-;_-@_-">
                  <c:v>3293439.1999999993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25C-4DCE-B36F-EC37C8786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9867807"/>
        <c:axId val="1709865407"/>
      </c:scatterChart>
      <c:valAx>
        <c:axId val="17098678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9865407"/>
        <c:crosses val="autoZero"/>
        <c:crossBetween val="midCat"/>
      </c:valAx>
      <c:valAx>
        <c:axId val="1709865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98678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Punto</a:t>
            </a:r>
            <a:r>
              <a:rPr lang="es-CO" baseline="0"/>
              <a:t> de Equilibrio Pan de Sal</a:t>
            </a:r>
          </a:p>
          <a:p>
            <a:pPr>
              <a:defRPr/>
            </a:pP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'PUNTO DE EQUILIBRIO'!$B$34:$B$35</c:f>
              <c:strCache>
                <c:ptCount val="2"/>
                <c:pt idx="0">
                  <c:v>PAN DE SAL</c:v>
                </c:pt>
                <c:pt idx="1">
                  <c:v>INGRESOS (VENTAS)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'PUNTO DE EQUILIBRIO'!$A$36:$A$40</c:f>
              <c:numCache>
                <c:formatCode>_-* #,##0_-;\-* #,##0_-;_-* "-"??_-;_-@_-</c:formatCode>
                <c:ptCount val="5"/>
                <c:pt idx="0" formatCode="General">
                  <c:v>0</c:v>
                </c:pt>
                <c:pt idx="1">
                  <c:v>8841.4831200662557</c:v>
                </c:pt>
                <c:pt idx="2">
                  <c:v>17682.966240132511</c:v>
                </c:pt>
                <c:pt idx="3">
                  <c:v>26524.449360198767</c:v>
                </c:pt>
                <c:pt idx="4">
                  <c:v>35365.932480265023</c:v>
                </c:pt>
              </c:numCache>
            </c:numRef>
          </c:xVal>
          <c:yVal>
            <c:numRef>
              <c:f>'PUNTO DE EQUILIBRIO'!$B$36:$B$40</c:f>
              <c:numCache>
                <c:formatCode>_-* #,##0_-;\-* #,##0_-;_-* "-"??_-;_-@_-</c:formatCode>
                <c:ptCount val="5"/>
                <c:pt idx="0" formatCode="_(* #,##0.00_);_(* \(#,##0.00\);_(* &quot;-&quot;??_);_(@_)">
                  <c:v>0</c:v>
                </c:pt>
                <c:pt idx="1">
                  <c:v>5306096.4888888886</c:v>
                </c:pt>
                <c:pt idx="2">
                  <c:v>10612192.977777777</c:v>
                </c:pt>
                <c:pt idx="3">
                  <c:v>15918289.466666667</c:v>
                </c:pt>
                <c:pt idx="4" formatCode="_(* #,##0.00_);_(* \(#,##0.00\);_(* &quot;-&quot;??_);_(@_)">
                  <c:v>21224385.955555554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BC-4594-ABB3-454D0F822DF8}"/>
            </c:ext>
          </c:extLst>
        </c:ser>
        <c:ser>
          <c:idx val="1"/>
          <c:order val="1"/>
          <c:tx>
            <c:strRef>
              <c:f>'PUNTO DE EQUILIBRIO'!$C$34:$C$35</c:f>
              <c:strCache>
                <c:ptCount val="2"/>
                <c:pt idx="0">
                  <c:v>PAN DE SAL</c:v>
                </c:pt>
                <c:pt idx="1">
                  <c:v>INVERSIÓN (CT + GT)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'PUNTO DE EQUILIBRIO'!$A$36:$A$40</c:f>
              <c:numCache>
                <c:formatCode>_-* #,##0_-;\-* #,##0_-;_-* "-"??_-;_-@_-</c:formatCode>
                <c:ptCount val="5"/>
                <c:pt idx="0" formatCode="General">
                  <c:v>0</c:v>
                </c:pt>
                <c:pt idx="1">
                  <c:v>8841.4831200662557</c:v>
                </c:pt>
                <c:pt idx="2">
                  <c:v>17682.966240132511</c:v>
                </c:pt>
                <c:pt idx="3">
                  <c:v>26524.449360198767</c:v>
                </c:pt>
                <c:pt idx="4">
                  <c:v>35365.932480265023</c:v>
                </c:pt>
              </c:numCache>
            </c:numRef>
          </c:xVal>
          <c:yVal>
            <c:numRef>
              <c:f>'PUNTO DE EQUILIBRIO'!$C$36:$C$40</c:f>
              <c:numCache>
                <c:formatCode>_-[$$-240A]\ * #,##0.00_-;\-[$$-240A]\ * #,##0.00_-;_-[$$-240A]\ * "-"??_-;_-@_-</c:formatCode>
                <c:ptCount val="5"/>
                <c:pt idx="0" formatCode="_(* #,##0.00_);_(* \(#,##0.00\);_(* &quot;-&quot;??_);_(@_)">
                  <c:v>3293439.2</c:v>
                </c:pt>
                <c:pt idx="1">
                  <c:v>6952816.0888888892</c:v>
                </c:pt>
                <c:pt idx="2" formatCode="_-* #,##0_-;\-* #,##0_-;_-* &quot;-&quot;??_-;_-@_-">
                  <c:v>10612192.977777779</c:v>
                </c:pt>
                <c:pt idx="3" formatCode="_-* #,##0_-;\-* #,##0_-;_-* &quot;-&quot;??_-;_-@_-">
                  <c:v>14271569.866666667</c:v>
                </c:pt>
                <c:pt idx="4">
                  <c:v>17930946.755555555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4BC-4594-ABB3-454D0F822DF8}"/>
            </c:ext>
          </c:extLst>
        </c:ser>
        <c:ser>
          <c:idx val="2"/>
          <c:order val="2"/>
          <c:tx>
            <c:strRef>
              <c:f>'PUNTO DE EQUILIBRIO'!$D$34:$D$35</c:f>
              <c:strCache>
                <c:ptCount val="2"/>
                <c:pt idx="0">
                  <c:v>PAN DE SAL</c:v>
                </c:pt>
                <c:pt idx="1">
                  <c:v>UTILIDAD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'PUNTO DE EQUILIBRIO'!$A$36:$A$40</c:f>
              <c:numCache>
                <c:formatCode>_-* #,##0_-;\-* #,##0_-;_-* "-"??_-;_-@_-</c:formatCode>
                <c:ptCount val="5"/>
                <c:pt idx="0" formatCode="General">
                  <c:v>0</c:v>
                </c:pt>
                <c:pt idx="1">
                  <c:v>8841.4831200662557</c:v>
                </c:pt>
                <c:pt idx="2">
                  <c:v>17682.966240132511</c:v>
                </c:pt>
                <c:pt idx="3">
                  <c:v>26524.449360198767</c:v>
                </c:pt>
                <c:pt idx="4">
                  <c:v>35365.932480265023</c:v>
                </c:pt>
              </c:numCache>
            </c:numRef>
          </c:xVal>
          <c:yVal>
            <c:numRef>
              <c:f>'PUNTO DE EQUILIBRIO'!$D$36:$D$40</c:f>
              <c:numCache>
                <c:formatCode>_(* #,##0.00_);_(* \(#,##0.00\);_(* "-"??_);_(@_)</c:formatCode>
                <c:ptCount val="5"/>
                <c:pt idx="0">
                  <c:v>-3293439.2</c:v>
                </c:pt>
                <c:pt idx="1">
                  <c:v>-1646719.6000000006</c:v>
                </c:pt>
                <c:pt idx="2" formatCode="_-* #,##0_-;\-* #,##0_-;_-* &quot;-&quot;??_-;_-@_-">
                  <c:v>0</c:v>
                </c:pt>
                <c:pt idx="3" formatCode="_-* #,##0_-;\-* #,##0_-;_-* &quot;-&quot;??_-;_-@_-">
                  <c:v>1646719.5999999996</c:v>
                </c:pt>
                <c:pt idx="4" formatCode="_-[$$-240A]\ * #,##0.00_-;\-[$$-240A]\ * #,##0.00_-;_-[$$-240A]\ * &quot;-&quot;??_-;_-@_-">
                  <c:v>3293439.1999999993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BC-4594-ABB3-454D0F822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409455"/>
        <c:axId val="1472406575"/>
      </c:scatterChart>
      <c:valAx>
        <c:axId val="14724094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72406575"/>
        <c:crosses val="autoZero"/>
        <c:crossBetween val="midCat"/>
      </c:valAx>
      <c:valAx>
        <c:axId val="1472406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724094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/>
              <a:t>ANALISIS CUANTITATIVO DE LOS RECURSOS</a:t>
            </a:r>
          </a:p>
        </c:rich>
      </c:tx>
      <c:layout>
        <c:manualLayout>
          <c:xMode val="edge"/>
          <c:yMode val="edge"/>
          <c:x val="0.19096528954909966"/>
          <c:y val="5.679246528882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5750125997342617E-2"/>
          <c:y val="0.13066917926570482"/>
          <c:w val="0.81404144930761457"/>
          <c:h val="0.634763046407375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38E-4240-A3DF-70512BADED6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38E-4240-A3DF-70512BADED6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B38E-4240-A3DF-70512BADED6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B38E-4240-A3DF-70512BADED6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B38E-4240-A3DF-70512BADED6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B38E-4240-A3DF-70512BADED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'COSTOS ABC PANADERÍA '!$I$123:$I$128</c:f>
              <c:strCache>
                <c:ptCount val="6"/>
                <c:pt idx="0">
                  <c:v>PERSONAL</c:v>
                </c:pt>
                <c:pt idx="1">
                  <c:v>MAQUINARIA </c:v>
                </c:pt>
                <c:pt idx="2">
                  <c:v>EQUIPO DE OFICINA </c:v>
                </c:pt>
                <c:pt idx="3">
                  <c:v>MATERIA PRIMA </c:v>
                </c:pt>
                <c:pt idx="4">
                  <c:v>ARRENDAMIENTO</c:v>
                </c:pt>
                <c:pt idx="5">
                  <c:v>DISTRIBUCIÓN</c:v>
                </c:pt>
              </c:strCache>
            </c:strRef>
          </c:cat>
          <c:val>
            <c:numRef>
              <c:f>'COSTOS ABC PANADERÍA '!$J$123:$J$128</c:f>
              <c:numCache>
                <c:formatCode>0.00%</c:formatCode>
                <c:ptCount val="6"/>
                <c:pt idx="0">
                  <c:v>0.32432432432432434</c:v>
                </c:pt>
                <c:pt idx="1">
                  <c:v>0.18018018018018017</c:v>
                </c:pt>
                <c:pt idx="2">
                  <c:v>0.13513513513513514</c:v>
                </c:pt>
                <c:pt idx="3" formatCode="0.0%">
                  <c:v>0.24324324324324326</c:v>
                </c:pt>
                <c:pt idx="4" formatCode="0.0%">
                  <c:v>4.5045045045045043E-2</c:v>
                </c:pt>
                <c:pt idx="5" formatCode="0.0%">
                  <c:v>7.2072072072072071E-2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38E-4240-A3DF-70512BADED6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Analisis cuantitativo costos de Actividades</a:t>
            </a:r>
          </a:p>
          <a:p>
            <a:pPr>
              <a:defRPr/>
            </a:pPr>
            <a:endParaRPr lang="es-CO"/>
          </a:p>
        </c:rich>
      </c:tx>
      <c:layout>
        <c:manualLayout>
          <c:xMode val="edge"/>
          <c:yMode val="edge"/>
          <c:x val="0.211775819959715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4864864864864868E-2"/>
          <c:y val="0.17301764362787983"/>
          <c:w val="0.93513513513513513"/>
          <c:h val="0.4105818022747156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0A-45F7-B1EF-554756F35A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0A-45F7-B1EF-554756F35A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0A-45F7-B1EF-554756F35A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0A-45F7-B1EF-554756F35A0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0A-45F7-B1EF-554756F35A0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120A-45F7-B1EF-554756F35A0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120A-45F7-B1EF-554756F35A0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120A-45F7-B1EF-554756F35A0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120A-45F7-B1EF-554756F35A0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120A-45F7-B1EF-554756F35A0A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120A-45F7-B1EF-554756F35A0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120A-45F7-B1EF-554756F35A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'COSTOS ABC PANADERÍA '!$U$298:$U$309</c:f>
              <c:strCache>
                <c:ptCount val="12"/>
                <c:pt idx="0">
                  <c:v>Clasificación de los costos y gastos </c:v>
                </c:pt>
                <c:pt idx="1">
                  <c:v>Pago a provedores </c:v>
                </c:pt>
                <c:pt idx="2">
                  <c:v>PESAR </c:v>
                </c:pt>
                <c:pt idx="3">
                  <c:v>GRAMAJE DE INGREDIENTES</c:v>
                </c:pt>
                <c:pt idx="4">
                  <c:v>MEZCLA Y PREPARACIÓN </c:v>
                </c:pt>
                <c:pt idx="5">
                  <c:v>AMASADO</c:v>
                </c:pt>
                <c:pt idx="6">
                  <c:v>CORTE</c:v>
                </c:pt>
                <c:pt idx="7">
                  <c:v>DAR FORMA AL PAN</c:v>
                </c:pt>
                <c:pt idx="8">
                  <c:v>PREPARAR EL HORNO </c:v>
                </c:pt>
                <c:pt idx="9">
                  <c:v>CALDEADO </c:v>
                </c:pt>
                <c:pt idx="10">
                  <c:v>COCCIÓN</c:v>
                </c:pt>
                <c:pt idx="11">
                  <c:v>Distribución</c:v>
                </c:pt>
              </c:strCache>
            </c:strRef>
          </c:cat>
          <c:val>
            <c:numRef>
              <c:f>'COSTOS ABC PANADERÍA '!$V$298:$V$309</c:f>
              <c:numCache>
                <c:formatCode>0%</c:formatCode>
                <c:ptCount val="12"/>
                <c:pt idx="0">
                  <c:v>0.21814613526570045</c:v>
                </c:pt>
                <c:pt idx="1">
                  <c:v>0.14779589371980675</c:v>
                </c:pt>
                <c:pt idx="2">
                  <c:v>5.5438137412775083E-2</c:v>
                </c:pt>
                <c:pt idx="3">
                  <c:v>5.5438137412775083E-2</c:v>
                </c:pt>
                <c:pt idx="4">
                  <c:v>4.7889828234031123E-2</c:v>
                </c:pt>
                <c:pt idx="5">
                  <c:v>5.4683306494900691E-2</c:v>
                </c:pt>
                <c:pt idx="6">
                  <c:v>5.4683306494900691E-2</c:v>
                </c:pt>
                <c:pt idx="7">
                  <c:v>4.6128556092324205E-2</c:v>
                </c:pt>
                <c:pt idx="8">
                  <c:v>5.4683306494900691E-2</c:v>
                </c:pt>
                <c:pt idx="9">
                  <c:v>5.0405931293612448E-2</c:v>
                </c:pt>
                <c:pt idx="10">
                  <c:v>5.3928475577026291E-2</c:v>
                </c:pt>
                <c:pt idx="11">
                  <c:v>0.16908212560386471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E-4AD7-A558-C340CA53046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Analisis Cuantitativo por</a:t>
            </a:r>
            <a:r>
              <a:rPr lang="en-US" baseline="0"/>
              <a:t> Procesos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1B9-4743-9D07-BAADB88836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1B9-4743-9D07-BAADB88836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1B9-4743-9D07-BAADB88836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1B9-4743-9D07-BAADB88836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'COSTOS ABC PANADERÍA '!$X$315:$X$318</c:f>
              <c:strCache>
                <c:ptCount val="4"/>
                <c:pt idx="0">
                  <c:v>Gestión Administrativa</c:v>
                </c:pt>
                <c:pt idx="1">
                  <c:v>Gestión de Inventario</c:v>
                </c:pt>
                <c:pt idx="2">
                  <c:v>Control de Calidad</c:v>
                </c:pt>
                <c:pt idx="3">
                  <c:v>Ventas</c:v>
                </c:pt>
              </c:strCache>
            </c:strRef>
          </c:cat>
          <c:val>
            <c:numRef>
              <c:f>'COSTOS ABC PANADERÍA '!$Y$315:$Y$318</c:f>
              <c:numCache>
                <c:formatCode>0%</c:formatCode>
                <c:ptCount val="4"/>
                <c:pt idx="0">
                  <c:v>0.375</c:v>
                </c:pt>
                <c:pt idx="1">
                  <c:v>0.25611772486772488</c:v>
                </c:pt>
                <c:pt idx="2">
                  <c:v>0.20221560846560849</c:v>
                </c:pt>
                <c:pt idx="3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3-4587-8885-514EB342B8F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/>
              <a:t>Analisis cuantitativo por centro de costos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04C5-4DE0-A405-81307B3C1EA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04C5-4DE0-A405-81307B3C1EA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04C5-4DE0-A405-81307B3C1E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'COSTOS ABC PANADERÍA '!$I$133:$I$135</c:f>
              <c:strCache>
                <c:ptCount val="3"/>
                <c:pt idx="0">
                  <c:v>Contable</c:v>
                </c:pt>
                <c:pt idx="1">
                  <c:v>Producción</c:v>
                </c:pt>
                <c:pt idx="2">
                  <c:v>Distirbución</c:v>
                </c:pt>
              </c:strCache>
            </c:strRef>
          </c:cat>
          <c:val>
            <c:numRef>
              <c:f>'COSTOS ABC PANADERÍA '!$J$133:$J$135</c:f>
              <c:numCache>
                <c:formatCode>0%</c:formatCode>
                <c:ptCount val="3"/>
                <c:pt idx="0">
                  <c:v>0.28378378378378377</c:v>
                </c:pt>
                <c:pt idx="1">
                  <c:v>0.45833333333333331</c:v>
                </c:pt>
                <c:pt idx="2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0C-43A6-A532-D2A95B92BA0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PRODUCCIÓN</a:t>
            </a:r>
            <a:r>
              <a:rPr lang="es-CO" baseline="0"/>
              <a:t> MENSUAL</a:t>
            </a:r>
            <a:endParaRPr lang="es-CO"/>
          </a:p>
        </c:rich>
      </c:tx>
      <c:layout>
        <c:manualLayout>
          <c:xMode val="edge"/>
          <c:yMode val="edge"/>
          <c:x val="0.33834161726197881"/>
          <c:y val="3.01318207844712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'INGRESOS '!$F$39:$F$42</c:f>
              <c:strCache>
                <c:ptCount val="4"/>
                <c:pt idx="0">
                  <c:v>PAN ACEMAS </c:v>
                </c:pt>
                <c:pt idx="1">
                  <c:v>PAN SAL </c:v>
                </c:pt>
                <c:pt idx="2">
                  <c:v>PAN MOLLETE </c:v>
                </c:pt>
                <c:pt idx="3">
                  <c:v>TORTAS</c:v>
                </c:pt>
              </c:strCache>
            </c:strRef>
          </c:cat>
          <c:val>
            <c:numRef>
              <c:f>'INGRESOS '!$G$39:$G$42</c:f>
              <c:numCache>
                <c:formatCode>0%</c:formatCode>
                <c:ptCount val="4"/>
                <c:pt idx="0">
                  <c:v>0.56395394376125951</c:v>
                </c:pt>
                <c:pt idx="1">
                  <c:v>0.83551343306963266</c:v>
                </c:pt>
                <c:pt idx="2">
                  <c:v>0.99216730633664918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6-49F5-9740-3CF36FF164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44518911"/>
        <c:axId val="244519391"/>
      </c:barChart>
      <c:catAx>
        <c:axId val="2445189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4519391"/>
        <c:crosses val="autoZero"/>
        <c:auto val="1"/>
        <c:lblAlgn val="ctr"/>
        <c:lblOffset val="100"/>
        <c:noMultiLvlLbl val="0"/>
      </c:catAx>
      <c:valAx>
        <c:axId val="244519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451891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Punto</a:t>
            </a:r>
            <a:r>
              <a:rPr lang="es-CO" baseline="0"/>
              <a:t> de Equilibrio (Acemas)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'PUNTO DE EQUILIBRIO'!$B$17:$B$18</c:f>
              <c:strCache>
                <c:ptCount val="2"/>
                <c:pt idx="0">
                  <c:v>ACEMAS</c:v>
                </c:pt>
                <c:pt idx="1">
                  <c:v>INGRESOS (VENTAS)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'PUNTO DE EQUILIBRIO'!$A$19:$A$23</c:f>
              <c:numCache>
                <c:formatCode>_-* #,##0_-;\-* #,##0_-;_-* "-"??_-;_-@_-</c:formatCode>
                <c:ptCount val="5"/>
                <c:pt idx="0" formatCode="General">
                  <c:v>0</c:v>
                </c:pt>
                <c:pt idx="1">
                  <c:v>13493.408910382506</c:v>
                </c:pt>
                <c:pt idx="2">
                  <c:v>26986.817820765013</c:v>
                </c:pt>
                <c:pt idx="3">
                  <c:v>40480.226731147515</c:v>
                </c:pt>
                <c:pt idx="4">
                  <c:v>53973.635641530025</c:v>
                </c:pt>
              </c:numCache>
            </c:numRef>
          </c:xVal>
          <c:yVal>
            <c:numRef>
              <c:f>'PUNTO DE EQUILIBRIO'!$B$19:$B$23</c:f>
              <c:numCache>
                <c:formatCode>_-* #,##0_-;\-* #,##0_-;_-* "-"??_-;_-@_-</c:formatCode>
                <c:ptCount val="5"/>
                <c:pt idx="0" formatCode="_(* #,##0.00_);_(* \(#,##0.00\);_(* &quot;-&quot;??_);_(@_)">
                  <c:v>0</c:v>
                </c:pt>
                <c:pt idx="1">
                  <c:v>5306096.4888888886</c:v>
                </c:pt>
                <c:pt idx="2">
                  <c:v>10612192.977777777</c:v>
                </c:pt>
                <c:pt idx="3">
                  <c:v>15918289.466666665</c:v>
                </c:pt>
                <c:pt idx="4" formatCode="_(* #,##0.00_);_(* \(#,##0.00\);_(* &quot;-&quot;??_);_(@_)">
                  <c:v>21224385.955555554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F5-431B-8699-C8AE23211372}"/>
            </c:ext>
          </c:extLst>
        </c:ser>
        <c:ser>
          <c:idx val="1"/>
          <c:order val="1"/>
          <c:tx>
            <c:strRef>
              <c:f>'PUNTO DE EQUILIBRIO'!$C$17:$C$18</c:f>
              <c:strCache>
                <c:ptCount val="2"/>
                <c:pt idx="0">
                  <c:v>ACEMAS</c:v>
                </c:pt>
                <c:pt idx="1">
                  <c:v>INVERSIÓN (CT + GT)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'PUNTO DE EQUILIBRIO'!$A$19:$A$23</c:f>
              <c:numCache>
                <c:formatCode>_-* #,##0_-;\-* #,##0_-;_-* "-"??_-;_-@_-</c:formatCode>
                <c:ptCount val="5"/>
                <c:pt idx="0" formatCode="General">
                  <c:v>0</c:v>
                </c:pt>
                <c:pt idx="1">
                  <c:v>13493.408910382506</c:v>
                </c:pt>
                <c:pt idx="2">
                  <c:v>26986.817820765013</c:v>
                </c:pt>
                <c:pt idx="3">
                  <c:v>40480.226731147515</c:v>
                </c:pt>
                <c:pt idx="4">
                  <c:v>53973.635641530025</c:v>
                </c:pt>
              </c:numCache>
            </c:numRef>
          </c:xVal>
          <c:yVal>
            <c:numRef>
              <c:f>'PUNTO DE EQUILIBRIO'!$C$19:$C$23</c:f>
              <c:numCache>
                <c:formatCode>_-[$$-240A]\ * #,##0.00_-;\-[$$-240A]\ * #,##0.00_-;_-[$$-240A]\ * "-"??_-;_-@_-</c:formatCode>
                <c:ptCount val="5"/>
                <c:pt idx="0" formatCode="_(* #,##0.00_);_(* \(#,##0.00\);_(* &quot;-&quot;??_);_(@_)">
                  <c:v>3293439.2</c:v>
                </c:pt>
                <c:pt idx="1">
                  <c:v>6952816.0888888892</c:v>
                </c:pt>
                <c:pt idx="2">
                  <c:v>10612192.977777777</c:v>
                </c:pt>
                <c:pt idx="3">
                  <c:v>14271569.866666663</c:v>
                </c:pt>
                <c:pt idx="4">
                  <c:v>17930946.755555555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F5-431B-8699-C8AE23211372}"/>
            </c:ext>
          </c:extLst>
        </c:ser>
        <c:ser>
          <c:idx val="2"/>
          <c:order val="2"/>
          <c:tx>
            <c:strRef>
              <c:f>'PUNTO DE EQUILIBRIO'!$D$17:$D$18</c:f>
              <c:strCache>
                <c:ptCount val="2"/>
                <c:pt idx="0">
                  <c:v>ACEMAS</c:v>
                </c:pt>
                <c:pt idx="1">
                  <c:v>UTILIDAD</c:v>
                </c:pt>
              </c:strCache>
            </c:strRef>
          </c:tx>
          <c:spPr>
            <a:ln w="95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'PUNTO DE EQUILIBRIO'!$A$19:$A$23</c:f>
              <c:numCache>
                <c:formatCode>_-* #,##0_-;\-* #,##0_-;_-* "-"??_-;_-@_-</c:formatCode>
                <c:ptCount val="5"/>
                <c:pt idx="0" formatCode="General">
                  <c:v>0</c:v>
                </c:pt>
                <c:pt idx="1">
                  <c:v>13493.408910382506</c:v>
                </c:pt>
                <c:pt idx="2">
                  <c:v>26986.817820765013</c:v>
                </c:pt>
                <c:pt idx="3">
                  <c:v>40480.226731147515</c:v>
                </c:pt>
                <c:pt idx="4">
                  <c:v>53973.635641530025</c:v>
                </c:pt>
              </c:numCache>
            </c:numRef>
          </c:xVal>
          <c:yVal>
            <c:numRef>
              <c:f>'PUNTO DE EQUILIBRIO'!$D$19:$D$23</c:f>
              <c:numCache>
                <c:formatCode>_(* #,##0.00_);_(* \(#,##0.00\);_(* "-"??_);_(@_)</c:formatCode>
                <c:ptCount val="5"/>
                <c:pt idx="0">
                  <c:v>-3293439.2</c:v>
                </c:pt>
                <c:pt idx="1">
                  <c:v>-1646719.6000000006</c:v>
                </c:pt>
                <c:pt idx="2">
                  <c:v>0</c:v>
                </c:pt>
                <c:pt idx="3">
                  <c:v>1646719.6000000015</c:v>
                </c:pt>
                <c:pt idx="4" formatCode="_-[$$-240A]\ * #,##0.00_-;\-[$$-240A]\ * #,##0.00_-;_-[$$-240A]\ * &quot;-&quot;??_-;_-@_-">
                  <c:v>3293439.1999999993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F5-431B-8699-C8AE23211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9867807"/>
        <c:axId val="1709865407"/>
      </c:scatterChart>
      <c:valAx>
        <c:axId val="17098678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9865407"/>
        <c:crosses val="autoZero"/>
        <c:crossBetween val="midCat"/>
      </c:valAx>
      <c:valAx>
        <c:axId val="1709865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98678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Punto</a:t>
            </a:r>
            <a:r>
              <a:rPr lang="es-CO" baseline="0"/>
              <a:t> de Equilibrio( Mollete)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'PUNTO DE EQUILIBRIO'!$N$17:$N$18</c:f>
              <c:strCache>
                <c:ptCount val="2"/>
                <c:pt idx="0">
                  <c:v>MOLLETE</c:v>
                </c:pt>
                <c:pt idx="1">
                  <c:v>INGRESOS (VENTAS)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'PUNTO DE EQUILIBRIO'!$M$19:$M$23</c:f>
              <c:numCache>
                <c:formatCode>_-* #,##0_-;\-* #,##0_-;_-* "-"??_-;_-@_-</c:formatCode>
                <c:ptCount val="5"/>
                <c:pt idx="0" formatCode="General">
                  <c:v>0</c:v>
                </c:pt>
                <c:pt idx="1">
                  <c:v>9548.4700711473452</c:v>
                </c:pt>
                <c:pt idx="2">
                  <c:v>19096.94014229469</c:v>
                </c:pt>
                <c:pt idx="3">
                  <c:v>28645.410213442035</c:v>
                </c:pt>
                <c:pt idx="4">
                  <c:v>38193.880284589381</c:v>
                </c:pt>
              </c:numCache>
            </c:numRef>
          </c:xVal>
          <c:yVal>
            <c:numRef>
              <c:f>'PUNTO DE EQUILIBRIO'!$N$19:$N$23</c:f>
              <c:numCache>
                <c:formatCode>_-* #,##0_-;\-* #,##0_-;_-* "-"??_-;_-@_-</c:formatCode>
                <c:ptCount val="5"/>
                <c:pt idx="0" formatCode="_(* #,##0.00_);_(* \(#,##0.00\);_(* &quot;-&quot;??_);_(@_)">
                  <c:v>0</c:v>
                </c:pt>
                <c:pt idx="1">
                  <c:v>5306096.4888888886</c:v>
                </c:pt>
                <c:pt idx="2">
                  <c:v>10612192.977777777</c:v>
                </c:pt>
                <c:pt idx="3">
                  <c:v>15918289.466666667</c:v>
                </c:pt>
                <c:pt idx="4">
                  <c:v>21224385.955555554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7D-43C6-9FD3-3F799C321739}"/>
            </c:ext>
          </c:extLst>
        </c:ser>
        <c:ser>
          <c:idx val="1"/>
          <c:order val="1"/>
          <c:tx>
            <c:strRef>
              <c:f>'PUNTO DE EQUILIBRIO'!$O$17:$O$18</c:f>
              <c:strCache>
                <c:ptCount val="2"/>
                <c:pt idx="0">
                  <c:v>MOLLETE</c:v>
                </c:pt>
                <c:pt idx="1">
                  <c:v>INVERSIÓN (CT + GT)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'PUNTO DE EQUILIBRIO'!$M$19:$M$23</c:f>
              <c:numCache>
                <c:formatCode>_-* #,##0_-;\-* #,##0_-;_-* "-"??_-;_-@_-</c:formatCode>
                <c:ptCount val="5"/>
                <c:pt idx="0" formatCode="General">
                  <c:v>0</c:v>
                </c:pt>
                <c:pt idx="1">
                  <c:v>9548.4700711473452</c:v>
                </c:pt>
                <c:pt idx="2">
                  <c:v>19096.94014229469</c:v>
                </c:pt>
                <c:pt idx="3">
                  <c:v>28645.410213442035</c:v>
                </c:pt>
                <c:pt idx="4">
                  <c:v>38193.880284589381</c:v>
                </c:pt>
              </c:numCache>
            </c:numRef>
          </c:xVal>
          <c:yVal>
            <c:numRef>
              <c:f>'PUNTO DE EQUILIBRIO'!$O$19:$O$23</c:f>
              <c:numCache>
                <c:formatCode>_-* #,##0_-;\-* #,##0_-;_-* "-"??_-;_-@_-</c:formatCode>
                <c:ptCount val="5"/>
                <c:pt idx="0" formatCode="_(* #,##0.00_);_(* \(#,##0.00\);_(* &quot;-&quot;??_);_(@_)">
                  <c:v>3293439.2</c:v>
                </c:pt>
                <c:pt idx="1">
                  <c:v>6952816.0888888892</c:v>
                </c:pt>
                <c:pt idx="2" formatCode="_-[$$-240A]\ * #,##0.00_-;\-[$$-240A]\ * #,##0.00_-;_-[$$-240A]\ * &quot;-&quot;??_-;_-@_-">
                  <c:v>10612192.977777779</c:v>
                </c:pt>
                <c:pt idx="3" formatCode="_-[$$-240A]\ * #,##0.00_-;\-[$$-240A]\ * #,##0.00_-;_-[$$-240A]\ * &quot;-&quot;??_-;_-@_-">
                  <c:v>14271569.866666667</c:v>
                </c:pt>
                <c:pt idx="4" formatCode="_-[$$-240A]\ * #,##0.00_-;\-[$$-240A]\ * #,##0.00_-;_-[$$-240A]\ * &quot;-&quot;??_-;_-@_-">
                  <c:v>17930946.755555555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7D-43C6-9FD3-3F799C321739}"/>
            </c:ext>
          </c:extLst>
        </c:ser>
        <c:ser>
          <c:idx val="2"/>
          <c:order val="2"/>
          <c:tx>
            <c:strRef>
              <c:f>'PUNTO DE EQUILIBRIO'!$P$17:$P$18</c:f>
              <c:strCache>
                <c:ptCount val="2"/>
                <c:pt idx="0">
                  <c:v>MOLLETE</c:v>
                </c:pt>
                <c:pt idx="1">
                  <c:v>UTILIDAD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'PUNTO DE EQUILIBRIO'!$M$19:$M$23</c:f>
              <c:numCache>
                <c:formatCode>_-* #,##0_-;\-* #,##0_-;_-* "-"??_-;_-@_-</c:formatCode>
                <c:ptCount val="5"/>
                <c:pt idx="0" formatCode="General">
                  <c:v>0</c:v>
                </c:pt>
                <c:pt idx="1">
                  <c:v>9548.4700711473452</c:v>
                </c:pt>
                <c:pt idx="2">
                  <c:v>19096.94014229469</c:v>
                </c:pt>
                <c:pt idx="3">
                  <c:v>28645.410213442035</c:v>
                </c:pt>
                <c:pt idx="4">
                  <c:v>38193.880284589381</c:v>
                </c:pt>
              </c:numCache>
            </c:numRef>
          </c:xVal>
          <c:yVal>
            <c:numRef>
              <c:f>'PUNTO DE EQUILIBRIO'!$P$19:$P$23</c:f>
              <c:numCache>
                <c:formatCode>_-* #,##0_-;\-* #,##0_-;_-* "-"??_-;_-@_-</c:formatCode>
                <c:ptCount val="5"/>
                <c:pt idx="0" formatCode="_(* #,##0.00_);_(* \(#,##0.00\);_(* &quot;-&quot;??_);_(@_)">
                  <c:v>-3293439.2</c:v>
                </c:pt>
                <c:pt idx="1">
                  <c:v>-1646719.6000000006</c:v>
                </c:pt>
                <c:pt idx="2" formatCode="_(* #,##0.00_);_(* \(#,##0.00\);_(* &quot;-&quot;??_);_(@_)">
                  <c:v>0</c:v>
                </c:pt>
                <c:pt idx="3" formatCode="_(* #,##0.00_);_(* \(#,##0.00\);_(* &quot;-&quot;??_);_(@_)">
                  <c:v>1646719.5999999996</c:v>
                </c:pt>
                <c:pt idx="4" formatCode="_-[$$-240A]\ * #,##0.00_-;\-[$$-240A]\ * #,##0.00_-;_-[$$-240A]\ * &quot;-&quot;??_-;_-@_-">
                  <c:v>3293439.1999999993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7D-43C6-9FD3-3F799C321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9238671"/>
        <c:axId val="1359240591"/>
      </c:scatterChart>
      <c:valAx>
        <c:axId val="13592386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59240591"/>
        <c:crosses val="autoZero"/>
        <c:crossBetween val="midCat"/>
      </c:valAx>
      <c:valAx>
        <c:axId val="1359240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5923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Punto</a:t>
            </a:r>
            <a:r>
              <a:rPr lang="es-CO" baseline="0"/>
              <a:t> de Equilibrio( Tortas)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'PUNTO DE EQUILIBRIO'!$N$34:$N$35</c:f>
              <c:strCache>
                <c:ptCount val="2"/>
                <c:pt idx="0">
                  <c:v>TORTAS</c:v>
                </c:pt>
                <c:pt idx="1">
                  <c:v>INGRESOS (VENTAS)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'PUNTO DE EQUILIBRIO'!$M$36:$M$40</c:f>
              <c:numCache>
                <c:formatCode>_-* #,##0_-;\-* #,##0_-;_-* "-"??_-;_-@_-</c:formatCode>
                <c:ptCount val="5"/>
                <c:pt idx="0" formatCode="General">
                  <c:v>0</c:v>
                </c:pt>
                <c:pt idx="1">
                  <c:v>351.82400818997172</c:v>
                </c:pt>
                <c:pt idx="2">
                  <c:v>703.64801637994344</c:v>
                </c:pt>
                <c:pt idx="3">
                  <c:v>1055.4720245699152</c:v>
                </c:pt>
                <c:pt idx="4">
                  <c:v>1407.2960327598869</c:v>
                </c:pt>
              </c:numCache>
            </c:numRef>
          </c:xVal>
          <c:yVal>
            <c:numRef>
              <c:f>'PUNTO DE EQUILIBRIO'!$N$36:$N$40</c:f>
              <c:numCache>
                <c:formatCode>_-* #,##0_-;\-* #,##0_-;_-* "-"??_-;_-@_-</c:formatCode>
                <c:ptCount val="5"/>
                <c:pt idx="0" formatCode="_(* #,##0.00_);_(* \(#,##0.00\);_(* &quot;-&quot;??_);_(@_)">
                  <c:v>0</c:v>
                </c:pt>
                <c:pt idx="1">
                  <c:v>5306096.4888888886</c:v>
                </c:pt>
                <c:pt idx="2">
                  <c:v>10612192.977777777</c:v>
                </c:pt>
                <c:pt idx="3">
                  <c:v>15918289.466666667</c:v>
                </c:pt>
                <c:pt idx="4">
                  <c:v>21224385.955555554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CC-459A-A251-6AA1495B3450}"/>
            </c:ext>
          </c:extLst>
        </c:ser>
        <c:ser>
          <c:idx val="1"/>
          <c:order val="1"/>
          <c:tx>
            <c:strRef>
              <c:f>'PUNTO DE EQUILIBRIO'!$O$34:$O$35</c:f>
              <c:strCache>
                <c:ptCount val="2"/>
                <c:pt idx="0">
                  <c:v>TORTAS</c:v>
                </c:pt>
                <c:pt idx="1">
                  <c:v>INVERSIÓN (CT + GT)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'PUNTO DE EQUILIBRIO'!$M$36:$M$40</c:f>
              <c:numCache>
                <c:formatCode>_-* #,##0_-;\-* #,##0_-;_-* "-"??_-;_-@_-</c:formatCode>
                <c:ptCount val="5"/>
                <c:pt idx="0" formatCode="General">
                  <c:v>0</c:v>
                </c:pt>
                <c:pt idx="1">
                  <c:v>351.82400818997172</c:v>
                </c:pt>
                <c:pt idx="2">
                  <c:v>703.64801637994344</c:v>
                </c:pt>
                <c:pt idx="3">
                  <c:v>1055.4720245699152</c:v>
                </c:pt>
                <c:pt idx="4">
                  <c:v>1407.2960327598869</c:v>
                </c:pt>
              </c:numCache>
            </c:numRef>
          </c:xVal>
          <c:yVal>
            <c:numRef>
              <c:f>'PUNTO DE EQUILIBRIO'!$O$36:$O$40</c:f>
              <c:numCache>
                <c:formatCode>_-[$$-240A]\ * #,##0.00_-;\-[$$-240A]\ * #,##0.00_-;_-[$$-240A]\ * "-"??_-;_-@_-</c:formatCode>
                <c:ptCount val="5"/>
                <c:pt idx="0" formatCode="_(* #,##0.00_);_(* \(#,##0.00\);_(* &quot;-&quot;??_);_(@_)">
                  <c:v>3293439.2</c:v>
                </c:pt>
                <c:pt idx="1">
                  <c:v>6952816.0888888892</c:v>
                </c:pt>
                <c:pt idx="2" formatCode="_-* #,##0_-;\-* #,##0_-;_-* &quot;-&quot;??_-;_-@_-">
                  <c:v>10612192.977777777</c:v>
                </c:pt>
                <c:pt idx="3" formatCode="_-* #,##0_-;\-* #,##0_-;_-* &quot;-&quot;??_-;_-@_-">
                  <c:v>14271569.866666667</c:v>
                </c:pt>
                <c:pt idx="4">
                  <c:v>17930946.755555555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CC-459A-A251-6AA1495B3450}"/>
            </c:ext>
          </c:extLst>
        </c:ser>
        <c:ser>
          <c:idx val="2"/>
          <c:order val="2"/>
          <c:tx>
            <c:strRef>
              <c:f>'PUNTO DE EQUILIBRIO'!$P$34:$P$35</c:f>
              <c:strCache>
                <c:ptCount val="2"/>
                <c:pt idx="0">
                  <c:v>TORTAS</c:v>
                </c:pt>
                <c:pt idx="1">
                  <c:v>UTILIDAD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'PUNTO DE EQUILIBRIO'!$M$36:$M$40</c:f>
              <c:numCache>
                <c:formatCode>_-* #,##0_-;\-* #,##0_-;_-* "-"??_-;_-@_-</c:formatCode>
                <c:ptCount val="5"/>
                <c:pt idx="0" formatCode="General">
                  <c:v>0</c:v>
                </c:pt>
                <c:pt idx="1">
                  <c:v>351.82400818997172</c:v>
                </c:pt>
                <c:pt idx="2">
                  <c:v>703.64801637994344</c:v>
                </c:pt>
                <c:pt idx="3">
                  <c:v>1055.4720245699152</c:v>
                </c:pt>
                <c:pt idx="4">
                  <c:v>1407.2960327598869</c:v>
                </c:pt>
              </c:numCache>
            </c:numRef>
          </c:xVal>
          <c:yVal>
            <c:numRef>
              <c:f>'PUNTO DE EQUILIBRIO'!$P$36:$P$40</c:f>
              <c:numCache>
                <c:formatCode>_(* #,##0.00_);_(* \(#,##0.00\);_(* "-"??_);_(@_)</c:formatCode>
                <c:ptCount val="5"/>
                <c:pt idx="0">
                  <c:v>-3293439.2</c:v>
                </c:pt>
                <c:pt idx="1">
                  <c:v>-1646719.6000000006</c:v>
                </c:pt>
                <c:pt idx="2" formatCode="_-* #,##0_-;\-* #,##0_-;_-* &quot;-&quot;??_-;_-@_-">
                  <c:v>0</c:v>
                </c:pt>
                <c:pt idx="3" formatCode="_-* #,##0_-;\-* #,##0_-;_-* &quot;-&quot;??_-;_-@_-">
                  <c:v>1646719.5999999996</c:v>
                </c:pt>
                <c:pt idx="4" formatCode="_-[$$-240A]\ * #,##0.00_-;\-[$$-240A]\ * #,##0.00_-;_-[$$-240A]\ * &quot;-&quot;??_-;_-@_-">
                  <c:v>3293439.1999999993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7CC-459A-A251-6AA1495B3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4169535"/>
        <c:axId val="1544171455"/>
      </c:scatterChart>
      <c:valAx>
        <c:axId val="15441695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44171455"/>
        <c:crosses val="autoZero"/>
        <c:crossBetween val="midCat"/>
      </c:valAx>
      <c:valAx>
        <c:axId val="1544171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441695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ESTADO DE RESULTADOS'!A1"/><Relationship Id="rId3" Type="http://schemas.openxmlformats.org/officeDocument/2006/relationships/image" Target="../media/image2.jpeg"/><Relationship Id="rId7" Type="http://schemas.openxmlformats.org/officeDocument/2006/relationships/image" Target="../media/image4.jpeg"/><Relationship Id="rId2" Type="http://schemas.openxmlformats.org/officeDocument/2006/relationships/hyperlink" Target="#GASTOS!A1"/><Relationship Id="rId1" Type="http://schemas.openxmlformats.org/officeDocument/2006/relationships/image" Target="../media/image1.png"/><Relationship Id="rId6" Type="http://schemas.openxmlformats.org/officeDocument/2006/relationships/hyperlink" Target="#'ESTADO DE COSTOS'!A1"/><Relationship Id="rId11" Type="http://schemas.openxmlformats.org/officeDocument/2006/relationships/chart" Target="../charts/chart1.xml"/><Relationship Id="rId5" Type="http://schemas.openxmlformats.org/officeDocument/2006/relationships/image" Target="../media/image3.jpeg"/><Relationship Id="rId10" Type="http://schemas.openxmlformats.org/officeDocument/2006/relationships/hyperlink" Target="#'Punto de Equilibrio'!A1"/><Relationship Id="rId4" Type="http://schemas.openxmlformats.org/officeDocument/2006/relationships/hyperlink" Target="#COSTOS!A1"/><Relationship Id="rId9" Type="http://schemas.openxmlformats.org/officeDocument/2006/relationships/image" Target="../media/image5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TABLERO DE CONTROL 1'!A1"/><Relationship Id="rId2" Type="http://schemas.openxmlformats.org/officeDocument/2006/relationships/image" Target="../media/image1.png"/><Relationship Id="rId1" Type="http://schemas.openxmlformats.org/officeDocument/2006/relationships/hyperlink" Target="#'TABLERO DE CONTROL'!A1"/><Relationship Id="rId6" Type="http://schemas.openxmlformats.org/officeDocument/2006/relationships/hyperlink" Target="#'TABLERO DE CONTROL '!A1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TABLERO DE CONTROL 1'!A1"/><Relationship Id="rId2" Type="http://schemas.openxmlformats.org/officeDocument/2006/relationships/image" Target="../media/image1.png"/><Relationship Id="rId1" Type="http://schemas.openxmlformats.org/officeDocument/2006/relationships/hyperlink" Target="#'TABLERO DE CONTROL'!A1"/><Relationship Id="rId6" Type="http://schemas.openxmlformats.org/officeDocument/2006/relationships/hyperlink" Target="#'TABLERO DE CONTROL '!A1"/><Relationship Id="rId5" Type="http://schemas.openxmlformats.org/officeDocument/2006/relationships/image" Target="../media/image15.png"/><Relationship Id="rId4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TABLERO DE CONTROL 1'!A1"/><Relationship Id="rId2" Type="http://schemas.openxmlformats.org/officeDocument/2006/relationships/image" Target="../media/image1.png"/><Relationship Id="rId1" Type="http://schemas.openxmlformats.org/officeDocument/2006/relationships/hyperlink" Target="#'TABLERO DE CONTROL'!A1"/><Relationship Id="rId4" Type="http://schemas.openxmlformats.org/officeDocument/2006/relationships/hyperlink" Target="#'TABLERO DE CONTROL 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TABLERO DE CONTROL 1'!A1"/><Relationship Id="rId2" Type="http://schemas.openxmlformats.org/officeDocument/2006/relationships/image" Target="../media/image1.png"/><Relationship Id="rId1" Type="http://schemas.openxmlformats.org/officeDocument/2006/relationships/hyperlink" Target="#'TABLERO DE CONTROL'!A1"/><Relationship Id="rId4" Type="http://schemas.openxmlformats.org/officeDocument/2006/relationships/hyperlink" Target="#'TABLERO DE CONTROL 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hyperlink" Target="#'TABLERO DE CONTROL '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image" Target="../media/image1.png"/><Relationship Id="rId5" Type="http://schemas.openxmlformats.org/officeDocument/2006/relationships/hyperlink" Target="#'TABLERO DE CONTROL 1'!A1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15</xdr:col>
      <xdr:colOff>7711</xdr:colOff>
      <xdr:row>23</xdr:row>
      <xdr:rowOff>28575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3A54D22-7FE8-4223-AD5B-EC5F35F75232}"/>
            </a:ext>
          </a:extLst>
        </xdr:cNvPr>
        <xdr:cNvSpPr/>
      </xdr:nvSpPr>
      <xdr:spPr>
        <a:xfrm>
          <a:off x="762000" y="190500"/>
          <a:ext cx="10675711" cy="4219575"/>
        </a:xfrm>
        <a:prstGeom prst="rect">
          <a:avLst/>
        </a:prstGeom>
        <a:noFill/>
        <a:ln w="38100"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 editAs="oneCell">
    <xdr:from>
      <xdr:col>1</xdr:col>
      <xdr:colOff>180975</xdr:colOff>
      <xdr:row>1</xdr:row>
      <xdr:rowOff>152400</xdr:rowOff>
    </xdr:from>
    <xdr:to>
      <xdr:col>2</xdr:col>
      <xdr:colOff>596223</xdr:colOff>
      <xdr:row>7</xdr:row>
      <xdr:rowOff>87539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DA1EB69-F4AE-4E6A-A697-EEC7EA0B5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342900"/>
          <a:ext cx="1177248" cy="1078139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1</xdr:col>
      <xdr:colOff>180974</xdr:colOff>
      <xdr:row>15</xdr:row>
      <xdr:rowOff>38100</xdr:rowOff>
    </xdr:from>
    <xdr:to>
      <xdr:col>3</xdr:col>
      <xdr:colOff>104775</xdr:colOff>
      <xdr:row>22</xdr:row>
      <xdr:rowOff>152399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8796D26C-65F7-DB95-77B4-7D687A0BE915}"/>
            </a:ext>
          </a:extLst>
        </xdr:cNvPr>
        <xdr:cNvGrpSpPr/>
      </xdr:nvGrpSpPr>
      <xdr:grpSpPr>
        <a:xfrm>
          <a:off x="942974" y="2895600"/>
          <a:ext cx="1447801" cy="1590674"/>
          <a:chOff x="1047749" y="1981200"/>
          <a:chExt cx="1409701" cy="1590674"/>
        </a:xfrm>
      </xdr:grpSpPr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7ECBD8A4-1B22-41DD-5787-6096D71A59B0}"/>
              </a:ext>
            </a:extLst>
          </xdr:cNvPr>
          <xdr:cNvSpPr txBox="1"/>
        </xdr:nvSpPr>
        <xdr:spPr>
          <a:xfrm>
            <a:off x="1047749" y="3257549"/>
            <a:ext cx="1409701" cy="314325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 w="2857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CO" sz="1800" kern="1200">
                <a:latin typeface="Times New Roman" panose="02020603050405020304" pitchFamily="18" charset="0"/>
                <a:cs typeface="Times New Roman" panose="02020603050405020304" pitchFamily="18" charset="0"/>
              </a:rPr>
              <a:t>GASTOS</a:t>
            </a:r>
          </a:p>
          <a:p>
            <a:endParaRPr lang="es-CO" sz="1100" kern="1200"/>
          </a:p>
        </xdr:txBody>
      </xdr:sp>
      <xdr:pic>
        <xdr:nvPicPr>
          <xdr:cNvPr id="5" name="Imagen 4" descr="Calcular gastos ilustraciones de vectores de dibujos animados aislados |  Vector Premium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1B93180-EBB7-BABB-43D2-6275FC43A94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52525" y="1981200"/>
            <a:ext cx="1123950" cy="1238250"/>
          </a:xfrm>
          <a:prstGeom prst="rect">
            <a:avLst/>
          </a:prstGeom>
          <a:noFill/>
          <a:ln w="28575"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200025</xdr:colOff>
      <xdr:row>7</xdr:row>
      <xdr:rowOff>47626</xdr:rowOff>
    </xdr:from>
    <xdr:to>
      <xdr:col>5</xdr:col>
      <xdr:colOff>76200</xdr:colOff>
      <xdr:row>15</xdr:row>
      <xdr:rowOff>190499</xdr:rowOff>
    </xdr:to>
    <xdr:grpSp>
      <xdr:nvGrpSpPr>
        <xdr:cNvPr id="15" name="Grupo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F561571-3E5F-1DC0-B9BF-98280C0EF23D}"/>
            </a:ext>
          </a:extLst>
        </xdr:cNvPr>
        <xdr:cNvGrpSpPr/>
      </xdr:nvGrpSpPr>
      <xdr:grpSpPr>
        <a:xfrm>
          <a:off x="2486025" y="1381126"/>
          <a:ext cx="1400175" cy="1666873"/>
          <a:chOff x="2200275" y="1895476"/>
          <a:chExt cx="1400175" cy="1666873"/>
        </a:xfrm>
      </xdr:grpSpPr>
      <xdr:pic>
        <xdr:nvPicPr>
          <xdr:cNvPr id="2" name="Imagen 1" descr="Costes: Más de 1,830,301 ilustraciones y dibujos de stock con licencia  libres de regalías | Shutterstock">
            <a:extLst>
              <a:ext uri="{FF2B5EF4-FFF2-40B4-BE49-F238E27FC236}">
                <a16:creationId xmlns:a16="http://schemas.microsoft.com/office/drawing/2014/main" id="{D786868D-0AAF-9BEA-7059-0DE2442CFB8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12745"/>
          <a:stretch/>
        </xdr:blipFill>
        <xdr:spPr bwMode="auto">
          <a:xfrm>
            <a:off x="2228850" y="1895476"/>
            <a:ext cx="1245375" cy="1285874"/>
          </a:xfrm>
          <a:prstGeom prst="rect">
            <a:avLst/>
          </a:prstGeom>
          <a:noFill/>
          <a:ln w="28575"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C93BD8CF-2CEF-BA3C-E141-2BF7E4A3CBFC}"/>
              </a:ext>
            </a:extLst>
          </xdr:cNvPr>
          <xdr:cNvSpPr txBox="1"/>
        </xdr:nvSpPr>
        <xdr:spPr>
          <a:xfrm>
            <a:off x="2200275" y="3267074"/>
            <a:ext cx="1400175" cy="295275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CO" sz="1800" kern="1200">
                <a:latin typeface="Times New Roman" panose="02020603050405020304" pitchFamily="18" charset="0"/>
                <a:cs typeface="Times New Roman" panose="02020603050405020304" pitchFamily="18" charset="0"/>
              </a:rPr>
              <a:t>COSTOS</a:t>
            </a:r>
          </a:p>
        </xdr:txBody>
      </xdr:sp>
    </xdr:grpSp>
    <xdr:clientData/>
  </xdr:twoCellAnchor>
  <xdr:twoCellAnchor>
    <xdr:from>
      <xdr:col>10</xdr:col>
      <xdr:colOff>685800</xdr:colOff>
      <xdr:row>13</xdr:row>
      <xdr:rowOff>0</xdr:rowOff>
    </xdr:from>
    <xdr:to>
      <xdr:col>13</xdr:col>
      <xdr:colOff>257175</xdr:colOff>
      <xdr:row>22</xdr:row>
      <xdr:rowOff>142875</xdr:rowOff>
    </xdr:to>
    <xdr:grpSp>
      <xdr:nvGrpSpPr>
        <xdr:cNvPr id="16" name="Grupo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A4A50FA-F47E-2DC2-70B7-43167D9B34F7}"/>
            </a:ext>
          </a:extLst>
        </xdr:cNvPr>
        <xdr:cNvGrpSpPr/>
      </xdr:nvGrpSpPr>
      <xdr:grpSpPr>
        <a:xfrm>
          <a:off x="8305800" y="2476500"/>
          <a:ext cx="1857375" cy="2000250"/>
          <a:chOff x="3371850" y="1962585"/>
          <a:chExt cx="1943100" cy="2047440"/>
        </a:xfrm>
      </xdr:grpSpPr>
      <xdr:pic>
        <xdr:nvPicPr>
          <xdr:cNvPr id="8" name="Imagen 7" descr="609.800+ Costo Ilustraciones Fotografías de stock, fotos e imágenes libres  de derechos - iStock">
            <a:extLst>
              <a:ext uri="{FF2B5EF4-FFF2-40B4-BE49-F238E27FC236}">
                <a16:creationId xmlns:a16="http://schemas.microsoft.com/office/drawing/2014/main" id="{82EE7C89-1E3E-084D-7C0D-D4864DCB5B0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48075" y="1962585"/>
            <a:ext cx="1295400" cy="1294965"/>
          </a:xfrm>
          <a:prstGeom prst="rect">
            <a:avLst/>
          </a:prstGeom>
          <a:noFill/>
          <a:ln w="28575"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34B59A68-B962-7D61-BCCE-151AC1477B45}"/>
              </a:ext>
            </a:extLst>
          </xdr:cNvPr>
          <xdr:cNvSpPr txBox="1"/>
        </xdr:nvSpPr>
        <xdr:spPr>
          <a:xfrm>
            <a:off x="3371850" y="3362324"/>
            <a:ext cx="1943100" cy="647701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CO" sz="1800" kern="1200">
                <a:latin typeface="Times New Roman" panose="02020603050405020304" pitchFamily="18" charset="0"/>
                <a:cs typeface="Times New Roman" panose="02020603050405020304" pitchFamily="18" charset="0"/>
              </a:rPr>
              <a:t>ESTADO DE COSTOS</a:t>
            </a:r>
          </a:p>
        </xdr:txBody>
      </xdr:sp>
    </xdr:grpSp>
    <xdr:clientData/>
  </xdr:twoCellAnchor>
  <xdr:twoCellAnchor>
    <xdr:from>
      <xdr:col>12</xdr:col>
      <xdr:colOff>552452</xdr:colOff>
      <xdr:row>2</xdr:row>
      <xdr:rowOff>38099</xdr:rowOff>
    </xdr:from>
    <xdr:to>
      <xdr:col>14</xdr:col>
      <xdr:colOff>742953</xdr:colOff>
      <xdr:row>12</xdr:row>
      <xdr:rowOff>161924</xdr:rowOff>
    </xdr:to>
    <xdr:grpSp>
      <xdr:nvGrpSpPr>
        <xdr:cNvPr id="17" name="Grupo 1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3FF6FF1-9D6B-BC89-F190-71DED7D5A0F9}"/>
            </a:ext>
          </a:extLst>
        </xdr:cNvPr>
        <xdr:cNvGrpSpPr/>
      </xdr:nvGrpSpPr>
      <xdr:grpSpPr>
        <a:xfrm>
          <a:off x="9696452" y="419099"/>
          <a:ext cx="1714501" cy="2028825"/>
          <a:chOff x="4833938" y="1962150"/>
          <a:chExt cx="1928812" cy="2133600"/>
        </a:xfrm>
      </xdr:grpSpPr>
      <xdr:pic>
        <xdr:nvPicPr>
          <xdr:cNvPr id="11" name="Imagen 10" descr="icono de estado financiero en estilo cómico. resultado ilustración  vectorial de dibujos animados sobre fondo blanco aislado. informar el  concepto de negocio de efecto de salpicadura. 16131843 Vector en Vecteezy">
            <a:extLst>
              <a:ext uri="{FF2B5EF4-FFF2-40B4-BE49-F238E27FC236}">
                <a16:creationId xmlns:a16="http://schemas.microsoft.com/office/drawing/2014/main" id="{1482928E-DD32-2FA4-2D31-9F049DBD344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51809" y="1962150"/>
            <a:ext cx="1515668" cy="1323975"/>
          </a:xfrm>
          <a:prstGeom prst="rect">
            <a:avLst/>
          </a:prstGeom>
          <a:noFill/>
          <a:ln w="28575"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5AB6F27F-DB0B-D70E-87F2-0CBCC775078A}"/>
              </a:ext>
            </a:extLst>
          </xdr:cNvPr>
          <xdr:cNvSpPr txBox="1"/>
        </xdr:nvSpPr>
        <xdr:spPr>
          <a:xfrm>
            <a:off x="4833938" y="3438525"/>
            <a:ext cx="1928812" cy="657225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CO" sz="1800" kern="1200">
                <a:latin typeface="Times New Roman" panose="02020603050405020304" pitchFamily="18" charset="0"/>
                <a:cs typeface="Times New Roman" panose="02020603050405020304" pitchFamily="18" charset="0"/>
              </a:rPr>
              <a:t>ESTADO DE RESULTADOS</a:t>
            </a:r>
          </a:p>
        </xdr:txBody>
      </xdr:sp>
    </xdr:grpSp>
    <xdr:clientData/>
  </xdr:twoCellAnchor>
  <xdr:twoCellAnchor>
    <xdr:from>
      <xdr:col>5</xdr:col>
      <xdr:colOff>333375</xdr:colOff>
      <xdr:row>3</xdr:row>
      <xdr:rowOff>180974</xdr:rowOff>
    </xdr:from>
    <xdr:to>
      <xdr:col>10</xdr:col>
      <xdr:colOff>609600</xdr:colOff>
      <xdr:row>18</xdr:row>
      <xdr:rowOff>19050</xdr:rowOff>
    </xdr:to>
    <xdr:grpSp>
      <xdr:nvGrpSpPr>
        <xdr:cNvPr id="18" name="Grupo 1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1FAF4DA-9006-A3FC-294F-DB11A61E8786}"/>
            </a:ext>
          </a:extLst>
        </xdr:cNvPr>
        <xdr:cNvGrpSpPr/>
      </xdr:nvGrpSpPr>
      <xdr:grpSpPr>
        <a:xfrm>
          <a:off x="4143375" y="752474"/>
          <a:ext cx="4086225" cy="2838451"/>
          <a:chOff x="6924675" y="1533524"/>
          <a:chExt cx="3771900" cy="2319941"/>
        </a:xfrm>
      </xdr:grpSpPr>
      <xdr:graphicFrame macro="">
        <xdr:nvGraphicFramePr>
          <xdr:cNvPr id="13" name="Gráfico 12">
            <a:extLst>
              <a:ext uri="{FF2B5EF4-FFF2-40B4-BE49-F238E27FC236}">
                <a16:creationId xmlns:a16="http://schemas.microsoft.com/office/drawing/2014/main" id="{C2DBDBB6-3830-42C6-A2F3-3BB2A127F399}"/>
              </a:ext>
            </a:extLst>
          </xdr:cNvPr>
          <xdr:cNvGraphicFramePr>
            <a:graphicFrameLocks/>
          </xdr:cNvGraphicFramePr>
        </xdr:nvGraphicFramePr>
        <xdr:xfrm>
          <a:off x="6924675" y="1533524"/>
          <a:ext cx="3771900" cy="19145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2A673DD1-8464-6BA6-2636-D5AE30E50055}"/>
              </a:ext>
            </a:extLst>
          </xdr:cNvPr>
          <xdr:cNvSpPr txBox="1"/>
        </xdr:nvSpPr>
        <xdr:spPr>
          <a:xfrm>
            <a:off x="7562850" y="3495675"/>
            <a:ext cx="2693814" cy="3577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s-CO" sz="1800" kern="1200">
                <a:latin typeface="Times New Roman" panose="02020603050405020304" pitchFamily="18" charset="0"/>
                <a:cs typeface="Times New Roman" panose="02020603050405020304" pitchFamily="18" charset="0"/>
              </a:rPr>
              <a:t>PUNTO DE EQUILIBRIO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118110</xdr:colOff>
      <xdr:row>2</xdr:row>
      <xdr:rowOff>5716</xdr:rowOff>
    </xdr:from>
    <xdr:to>
      <xdr:col>2</xdr:col>
      <xdr:colOff>995094</xdr:colOff>
      <xdr:row>7</xdr:row>
      <xdr:rowOff>105584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17397E-F0A5-4390-A518-93A9585A1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9560" y="396241"/>
          <a:ext cx="1181784" cy="10668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85725</xdr:colOff>
      <xdr:row>2</xdr:row>
      <xdr:rowOff>9525</xdr:rowOff>
    </xdr:from>
    <xdr:to>
      <xdr:col>2</xdr:col>
      <xdr:colOff>996273</xdr:colOff>
      <xdr:row>7</xdr:row>
      <xdr:rowOff>120732</xdr:rowOff>
    </xdr:to>
    <xdr:pic>
      <xdr:nvPicPr>
        <xdr:cNvPr id="2" name="Imagen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4BA492-F24B-49B1-8352-BC929400D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400050"/>
          <a:ext cx="1215348" cy="1078139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739140</xdr:colOff>
      <xdr:row>32</xdr:row>
      <xdr:rowOff>38100</xdr:rowOff>
    </xdr:from>
    <xdr:to>
      <xdr:col>6</xdr:col>
      <xdr:colOff>960120</xdr:colOff>
      <xdr:row>33</xdr:row>
      <xdr:rowOff>175260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6D0C7E-4E46-4673-9364-2DEF7D7E3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880" y="5935980"/>
          <a:ext cx="1790700" cy="320040"/>
        </a:xfrm>
        <a:prstGeom prst="rect">
          <a:avLst/>
        </a:prstGeom>
      </xdr:spPr>
    </xdr:pic>
    <xdr:clientData/>
  </xdr:twoCellAnchor>
  <xdr:twoCellAnchor editAs="oneCell">
    <xdr:from>
      <xdr:col>2</xdr:col>
      <xdr:colOff>640080</xdr:colOff>
      <xdr:row>32</xdr:row>
      <xdr:rowOff>76201</xdr:rowOff>
    </xdr:from>
    <xdr:to>
      <xdr:col>2</xdr:col>
      <xdr:colOff>2621280</xdr:colOff>
      <xdr:row>34</xdr:row>
      <xdr:rowOff>7621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7018633-9C7D-43E6-B4CB-2A3E9F0F35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92"/>
        <a:stretch/>
      </xdr:blipFill>
      <xdr:spPr bwMode="auto">
        <a:xfrm>
          <a:off x="1127760" y="5974081"/>
          <a:ext cx="1981200" cy="297180"/>
        </a:xfrm>
        <a:prstGeom prst="rect">
          <a:avLst/>
        </a:prstGeom>
        <a:noFill/>
        <a:ln w="12700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0">
                <a:custGeom>
                  <a:avLst/>
                  <a:gdLst/>
                  <a:ahLst/>
                  <a:cxnLst/>
                  <a:rect l="0" t="0" r="0" b="0"/>
                  <a:pathLst/>
                </a:custGeom>
                <ask:type/>
              </ask:lineSketchStyleProps>
            </a:ext>
          </a:extLst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101022</xdr:colOff>
      <xdr:row>2</xdr:row>
      <xdr:rowOff>0</xdr:rowOff>
    </xdr:from>
    <xdr:to>
      <xdr:col>2</xdr:col>
      <xdr:colOff>975202</xdr:colOff>
      <xdr:row>7</xdr:row>
      <xdr:rowOff>125639</xdr:rowOff>
    </xdr:to>
    <xdr:pic>
      <xdr:nvPicPr>
        <xdr:cNvPr id="6" name="Imagen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1B45367-C07B-4398-AA4C-0ED226C8F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4204" y="389659"/>
          <a:ext cx="1177248" cy="1078139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133350</xdr:rowOff>
    </xdr:from>
    <xdr:to>
      <xdr:col>2</xdr:col>
      <xdr:colOff>1105584</xdr:colOff>
      <xdr:row>7</xdr:row>
      <xdr:rowOff>57150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55A94B-9048-4827-8200-0D56EA770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323850"/>
          <a:ext cx="1181784" cy="10668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152400</xdr:colOff>
      <xdr:row>1</xdr:row>
      <xdr:rowOff>123825</xdr:rowOff>
    </xdr:from>
    <xdr:to>
      <xdr:col>2</xdr:col>
      <xdr:colOff>1162050</xdr:colOff>
      <xdr:row>7</xdr:row>
      <xdr:rowOff>58964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5F0817-5CC6-4AE2-BAE8-C41B07758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314325"/>
          <a:ext cx="1238250" cy="1078139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617220</xdr:colOff>
      <xdr:row>39</xdr:row>
      <xdr:rowOff>137160</xdr:rowOff>
    </xdr:from>
    <xdr:to>
      <xdr:col>6</xdr:col>
      <xdr:colOff>428588</xdr:colOff>
      <xdr:row>41</xdr:row>
      <xdr:rowOff>167640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731DE-5ABB-4773-8EB0-0F84BC32C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55820" y="7040880"/>
          <a:ext cx="1790700" cy="396240"/>
        </a:xfrm>
        <a:prstGeom prst="rect">
          <a:avLst/>
        </a:prstGeom>
      </xdr:spPr>
    </xdr:pic>
    <xdr:clientData/>
  </xdr:twoCellAnchor>
  <xdr:twoCellAnchor editAs="oneCell">
    <xdr:from>
      <xdr:col>2</xdr:col>
      <xdr:colOff>563880</xdr:colOff>
      <xdr:row>39</xdr:row>
      <xdr:rowOff>114299</xdr:rowOff>
    </xdr:from>
    <xdr:to>
      <xdr:col>2</xdr:col>
      <xdr:colOff>2545080</xdr:colOff>
      <xdr:row>41</xdr:row>
      <xdr:rowOff>160020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4E40937-5AD7-8686-1858-99D1712EF2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92"/>
        <a:stretch/>
      </xdr:blipFill>
      <xdr:spPr bwMode="auto">
        <a:xfrm>
          <a:off x="906780" y="7018019"/>
          <a:ext cx="1981200" cy="411481"/>
        </a:xfrm>
        <a:prstGeom prst="rect">
          <a:avLst/>
        </a:prstGeom>
        <a:noFill/>
        <a:ln w="12700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0">
                <a:custGeom>
                  <a:avLst/>
                  <a:gdLst/>
                  <a:ahLst/>
                  <a:cxnLst/>
                  <a:rect l="0" t="0" r="0" b="0"/>
                  <a:pathLst/>
                </a:custGeom>
                <ask:type/>
              </ask:lineSketchStyleProps>
            </a:ext>
          </a:extLst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142875</xdr:colOff>
      <xdr:row>1</xdr:row>
      <xdr:rowOff>104775</xdr:rowOff>
    </xdr:from>
    <xdr:to>
      <xdr:col>2</xdr:col>
      <xdr:colOff>1190625</xdr:colOff>
      <xdr:row>7</xdr:row>
      <xdr:rowOff>66675</xdr:rowOff>
    </xdr:to>
    <xdr:pic>
      <xdr:nvPicPr>
        <xdr:cNvPr id="5" name="Imagen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736F60E-838B-479E-9E87-49ECD4EC4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7650" y="295275"/>
          <a:ext cx="1276350" cy="11049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118534</xdr:colOff>
      <xdr:row>1</xdr:row>
      <xdr:rowOff>177800</xdr:rowOff>
    </xdr:from>
    <xdr:to>
      <xdr:col>2</xdr:col>
      <xdr:colOff>1474894</xdr:colOff>
      <xdr:row>7</xdr:row>
      <xdr:rowOff>104714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4F67D84-2A08-40B0-AA00-07B7B267A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4934" y="296333"/>
          <a:ext cx="1356360" cy="1044514"/>
        </a:xfrm>
        <a:prstGeom prst="rect">
          <a:avLst/>
        </a:prstGeom>
      </xdr:spPr>
    </xdr:pic>
    <xdr:clientData/>
  </xdr:twoCellAnchor>
  <xdr:twoCellAnchor editAs="oneCell">
    <xdr:from>
      <xdr:col>6</xdr:col>
      <xdr:colOff>1651000</xdr:colOff>
      <xdr:row>43</xdr:row>
      <xdr:rowOff>25400</xdr:rowOff>
    </xdr:from>
    <xdr:to>
      <xdr:col>7</xdr:col>
      <xdr:colOff>4234</xdr:colOff>
      <xdr:row>45</xdr:row>
      <xdr:rowOff>59267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9FBC44-B882-4DDD-85A8-0EF73F34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66467" y="8001000"/>
          <a:ext cx="1790700" cy="406400"/>
        </a:xfrm>
        <a:prstGeom prst="rect">
          <a:avLst/>
        </a:prstGeom>
      </xdr:spPr>
    </xdr:pic>
    <xdr:clientData/>
  </xdr:twoCellAnchor>
  <xdr:twoCellAnchor editAs="oneCell">
    <xdr:from>
      <xdr:col>2</xdr:col>
      <xdr:colOff>482600</xdr:colOff>
      <xdr:row>43</xdr:row>
      <xdr:rowOff>110067</xdr:rowOff>
    </xdr:from>
    <xdr:to>
      <xdr:col>2</xdr:col>
      <xdr:colOff>2463800</xdr:colOff>
      <xdr:row>45</xdr:row>
      <xdr:rowOff>34714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AE0AB73-0DA0-4CD7-9A2E-72839DC7FF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92"/>
        <a:stretch/>
      </xdr:blipFill>
      <xdr:spPr bwMode="auto">
        <a:xfrm>
          <a:off x="889000" y="8085667"/>
          <a:ext cx="1981200" cy="297180"/>
        </a:xfrm>
        <a:prstGeom prst="rect">
          <a:avLst/>
        </a:prstGeom>
        <a:noFill/>
        <a:ln w="12700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0">
                <a:custGeom>
                  <a:avLst/>
                  <a:gdLst/>
                  <a:ahLst/>
                  <a:cxnLst/>
                  <a:rect l="0" t="0" r="0" b="0"/>
                  <a:pathLst/>
                </a:custGeom>
                <ask:type/>
              </ask:lineSketchStyleProps>
            </a:ext>
          </a:extLst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0.37879</cdr:x>
      <cdr:y>0.26119</cdr:y>
    </cdr:from>
    <cdr:to>
      <cdr:x>0.62121</cdr:x>
      <cdr:y>0.73881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FF476CE-5CBA-8B8E-88E8-E8079C721420}"/>
            </a:ext>
          </a:extLst>
        </cdr:cNvPr>
        <cdr:cNvSpPr txBox="1"/>
      </cdr:nvSpPr>
      <cdr:spPr>
        <a:xfrm xmlns:a="http://schemas.openxmlformats.org/drawingml/2006/main">
          <a:off x="1428750" y="50006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kern="12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2468880</xdr:colOff>
      <xdr:row>33</xdr:row>
      <xdr:rowOff>160020</xdr:rowOff>
    </xdr:from>
    <xdr:to>
      <xdr:col>8</xdr:col>
      <xdr:colOff>444500</xdr:colOff>
      <xdr:row>40</xdr:row>
      <xdr:rowOff>85725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96C5C44B-4778-4DAB-BA91-91F9B4546165}"/>
            </a:ext>
          </a:extLst>
        </xdr:cNvPr>
        <xdr:cNvSpPr/>
      </xdr:nvSpPr>
      <xdr:spPr>
        <a:xfrm>
          <a:off x="6850380" y="11391900"/>
          <a:ext cx="4140200" cy="1205865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5</xdr:col>
      <xdr:colOff>76200</xdr:colOff>
      <xdr:row>35</xdr:row>
      <xdr:rowOff>0</xdr:rowOff>
    </xdr:from>
    <xdr:to>
      <xdr:col>8</xdr:col>
      <xdr:colOff>101600</xdr:colOff>
      <xdr:row>39</xdr:row>
      <xdr:rowOff>57151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F9F56FAD-E473-4A52-97ED-41CF3D2B886C}"/>
            </a:ext>
          </a:extLst>
        </xdr:cNvPr>
        <xdr:cNvSpPr txBox="1"/>
      </xdr:nvSpPr>
      <xdr:spPr>
        <a:xfrm>
          <a:off x="6926580" y="11597640"/>
          <a:ext cx="3721100" cy="7886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200" b="1" kern="1200"/>
            <a:t>SISTEMA</a:t>
          </a:r>
          <a:r>
            <a:rPr lang="es-CO" sz="1200" b="1" kern="1200" baseline="0"/>
            <a:t> DE COSTOS ABC-PANADERIA ARTESANAL SEÑORA LOLA</a:t>
          </a:r>
          <a:endParaRPr lang="es-CO" sz="1200" b="1" kern="1200"/>
        </a:p>
      </xdr:txBody>
    </xdr:sp>
    <xdr:clientData/>
  </xdr:twoCellAnchor>
  <xdr:twoCellAnchor>
    <xdr:from>
      <xdr:col>2</xdr:col>
      <xdr:colOff>1009651</xdr:colOff>
      <xdr:row>43</xdr:row>
      <xdr:rowOff>91440</xdr:rowOff>
    </xdr:from>
    <xdr:to>
      <xdr:col>3</xdr:col>
      <xdr:colOff>1057276</xdr:colOff>
      <xdr:row>45</xdr:row>
      <xdr:rowOff>167640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B84F5AAA-E600-43EC-9488-F43280B7EBFB}"/>
            </a:ext>
          </a:extLst>
        </xdr:cNvPr>
        <xdr:cNvSpPr/>
      </xdr:nvSpPr>
      <xdr:spPr>
        <a:xfrm>
          <a:off x="3152776" y="15083790"/>
          <a:ext cx="1162050" cy="438150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3</xdr:col>
      <xdr:colOff>1200150</xdr:colOff>
      <xdr:row>41</xdr:row>
      <xdr:rowOff>114301</xdr:rowOff>
    </xdr:from>
    <xdr:to>
      <xdr:col>4</xdr:col>
      <xdr:colOff>1076325</xdr:colOff>
      <xdr:row>44</xdr:row>
      <xdr:rowOff>104776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8DCEA378-4810-4FE8-B58F-C1F133FFE639}"/>
            </a:ext>
          </a:extLst>
        </xdr:cNvPr>
        <xdr:cNvSpPr/>
      </xdr:nvSpPr>
      <xdr:spPr>
        <a:xfrm>
          <a:off x="4457700" y="14744701"/>
          <a:ext cx="1247775" cy="533400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4</xdr:col>
      <xdr:colOff>2400300</xdr:colOff>
      <xdr:row>42</xdr:row>
      <xdr:rowOff>97971</xdr:rowOff>
    </xdr:from>
    <xdr:to>
      <xdr:col>6</xdr:col>
      <xdr:colOff>91440</xdr:colOff>
      <xdr:row>45</xdr:row>
      <xdr:rowOff>54429</xdr:rowOff>
    </xdr:to>
    <xdr:sp macro="" textlink="">
      <xdr:nvSpPr>
        <xdr:cNvPr id="6" name="Rectángulo: esquinas redondeadas 5">
          <a:extLst>
            <a:ext uri="{FF2B5EF4-FFF2-40B4-BE49-F238E27FC236}">
              <a16:creationId xmlns:a16="http://schemas.microsoft.com/office/drawing/2014/main" id="{0E3F0552-E35F-42FC-88B6-5D0B2B36D241}"/>
            </a:ext>
          </a:extLst>
        </xdr:cNvPr>
        <xdr:cNvSpPr/>
      </xdr:nvSpPr>
      <xdr:spPr>
        <a:xfrm>
          <a:off x="6850380" y="12975771"/>
          <a:ext cx="1188720" cy="505098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6</xdr:col>
      <xdr:colOff>213360</xdr:colOff>
      <xdr:row>42</xdr:row>
      <xdr:rowOff>54429</xdr:rowOff>
    </xdr:from>
    <xdr:to>
      <xdr:col>6</xdr:col>
      <xdr:colOff>1493520</xdr:colOff>
      <xdr:row>45</xdr:row>
      <xdr:rowOff>43544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C125C66E-F0AF-45AF-932D-3CD4FDB7F395}"/>
            </a:ext>
          </a:extLst>
        </xdr:cNvPr>
        <xdr:cNvSpPr/>
      </xdr:nvSpPr>
      <xdr:spPr>
        <a:xfrm>
          <a:off x="8161020" y="12932229"/>
          <a:ext cx="1280160" cy="537755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7</xdr:col>
      <xdr:colOff>0</xdr:colOff>
      <xdr:row>41</xdr:row>
      <xdr:rowOff>32658</xdr:rowOff>
    </xdr:from>
    <xdr:to>
      <xdr:col>8</xdr:col>
      <xdr:colOff>446314</xdr:colOff>
      <xdr:row>45</xdr:row>
      <xdr:rowOff>32657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6C349D49-175B-4931-A0F3-3F4B5873758E}"/>
            </a:ext>
          </a:extLst>
        </xdr:cNvPr>
        <xdr:cNvSpPr/>
      </xdr:nvSpPr>
      <xdr:spPr>
        <a:xfrm>
          <a:off x="9486900" y="12727578"/>
          <a:ext cx="1505494" cy="731519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2</xdr:col>
      <xdr:colOff>1082040</xdr:colOff>
      <xdr:row>43</xdr:row>
      <xdr:rowOff>165735</xdr:rowOff>
    </xdr:from>
    <xdr:to>
      <xdr:col>3</xdr:col>
      <xdr:colOff>876300</xdr:colOff>
      <xdr:row>45</xdr:row>
      <xdr:rowOff>38100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70CCEF8D-E055-4F5F-B496-EB5725ABF84E}"/>
            </a:ext>
          </a:extLst>
        </xdr:cNvPr>
        <xdr:cNvSpPr txBox="1"/>
      </xdr:nvSpPr>
      <xdr:spPr>
        <a:xfrm>
          <a:off x="3225165" y="15158085"/>
          <a:ext cx="908685" cy="2343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kern="1200"/>
            <a:t>PERSONAL</a:t>
          </a:r>
        </a:p>
      </xdr:txBody>
    </xdr:sp>
    <xdr:clientData/>
  </xdr:twoCellAnchor>
  <xdr:twoCellAnchor>
    <xdr:from>
      <xdr:col>4</xdr:col>
      <xdr:colOff>0</xdr:colOff>
      <xdr:row>42</xdr:row>
      <xdr:rowOff>57151</xdr:rowOff>
    </xdr:from>
    <xdr:to>
      <xdr:col>4</xdr:col>
      <xdr:colOff>1000125</xdr:colOff>
      <xdr:row>43</xdr:row>
      <xdr:rowOff>133350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22B57A22-903C-471D-8D48-9278B7209ABF}"/>
            </a:ext>
          </a:extLst>
        </xdr:cNvPr>
        <xdr:cNvSpPr txBox="1"/>
      </xdr:nvSpPr>
      <xdr:spPr>
        <a:xfrm>
          <a:off x="4629150" y="14868526"/>
          <a:ext cx="1000125" cy="2571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kern="1200"/>
            <a:t>MAQUINARIA</a:t>
          </a:r>
        </a:p>
      </xdr:txBody>
    </xdr:sp>
    <xdr:clientData/>
  </xdr:twoCellAnchor>
  <xdr:twoCellAnchor>
    <xdr:from>
      <xdr:col>5</xdr:col>
      <xdr:colOff>190499</xdr:colOff>
      <xdr:row>42</xdr:row>
      <xdr:rowOff>141514</xdr:rowOff>
    </xdr:from>
    <xdr:to>
      <xdr:col>6</xdr:col>
      <xdr:colOff>21771</xdr:colOff>
      <xdr:row>45</xdr:row>
      <xdr:rowOff>38100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436D64B4-721B-46BA-8633-1CFC227EC426}"/>
            </a:ext>
          </a:extLst>
        </xdr:cNvPr>
        <xdr:cNvSpPr txBox="1"/>
      </xdr:nvSpPr>
      <xdr:spPr>
        <a:xfrm>
          <a:off x="5953124" y="14952889"/>
          <a:ext cx="812347" cy="43951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000" kern="1200"/>
            <a:t>EQUIPO DE OFICINA</a:t>
          </a:r>
        </a:p>
      </xdr:txBody>
    </xdr:sp>
    <xdr:clientData/>
  </xdr:twoCellAnchor>
  <xdr:twoCellAnchor>
    <xdr:from>
      <xdr:col>6</xdr:col>
      <xdr:colOff>312420</xdr:colOff>
      <xdr:row>43</xdr:row>
      <xdr:rowOff>32658</xdr:rowOff>
    </xdr:from>
    <xdr:to>
      <xdr:col>6</xdr:col>
      <xdr:colOff>1424940</xdr:colOff>
      <xdr:row>44</xdr:row>
      <xdr:rowOff>141515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82F94995-0322-4063-A9BF-40892AF6D532}"/>
            </a:ext>
          </a:extLst>
        </xdr:cNvPr>
        <xdr:cNvSpPr txBox="1"/>
      </xdr:nvSpPr>
      <xdr:spPr>
        <a:xfrm>
          <a:off x="8260080" y="13093338"/>
          <a:ext cx="1112520" cy="2917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000" kern="1200"/>
            <a:t>MATERIA</a:t>
          </a:r>
          <a:r>
            <a:rPr lang="es-CO" sz="1000" kern="1200" baseline="0"/>
            <a:t> PRIMA</a:t>
          </a:r>
          <a:endParaRPr lang="es-CO" sz="1000" kern="1200"/>
        </a:p>
      </xdr:txBody>
    </xdr:sp>
    <xdr:clientData/>
  </xdr:twoCellAnchor>
  <xdr:twoCellAnchor>
    <xdr:from>
      <xdr:col>7</xdr:col>
      <xdr:colOff>53340</xdr:colOff>
      <xdr:row>41</xdr:row>
      <xdr:rowOff>87086</xdr:rowOff>
    </xdr:from>
    <xdr:to>
      <xdr:col>8</xdr:col>
      <xdr:colOff>370114</xdr:colOff>
      <xdr:row>44</xdr:row>
      <xdr:rowOff>43543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EBCB1C37-8202-44CC-BD74-CC956ED3F373}"/>
            </a:ext>
          </a:extLst>
        </xdr:cNvPr>
        <xdr:cNvSpPr txBox="1"/>
      </xdr:nvSpPr>
      <xdr:spPr>
        <a:xfrm>
          <a:off x="9540240" y="12782006"/>
          <a:ext cx="1375954" cy="5050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900" kern="1200"/>
            <a:t>MATERIALES E INSUMOS</a:t>
          </a:r>
        </a:p>
      </xdr:txBody>
    </xdr:sp>
    <xdr:clientData/>
  </xdr:twoCellAnchor>
  <xdr:twoCellAnchor>
    <xdr:from>
      <xdr:col>5</xdr:col>
      <xdr:colOff>2946</xdr:colOff>
      <xdr:row>50</xdr:row>
      <xdr:rowOff>8709</xdr:rowOff>
    </xdr:from>
    <xdr:to>
      <xdr:col>6</xdr:col>
      <xdr:colOff>170330</xdr:colOff>
      <xdr:row>52</xdr:row>
      <xdr:rowOff>163286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01697584-8467-46CB-9788-905C3938E8BC}"/>
            </a:ext>
          </a:extLst>
        </xdr:cNvPr>
        <xdr:cNvSpPr/>
      </xdr:nvSpPr>
      <xdr:spPr>
        <a:xfrm>
          <a:off x="6853326" y="14349549"/>
          <a:ext cx="1264664" cy="520337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6</xdr:col>
      <xdr:colOff>779417</xdr:colOff>
      <xdr:row>49</xdr:row>
      <xdr:rowOff>106680</xdr:rowOff>
    </xdr:from>
    <xdr:to>
      <xdr:col>8</xdr:col>
      <xdr:colOff>43542</xdr:colOff>
      <xdr:row>52</xdr:row>
      <xdr:rowOff>152400</xdr:rowOff>
    </xdr:to>
    <xdr:sp macro="" textlink="">
      <xdr:nvSpPr>
        <xdr:cNvPr id="15" name="Rectángulo: esquinas redondeadas 14">
          <a:extLst>
            <a:ext uri="{FF2B5EF4-FFF2-40B4-BE49-F238E27FC236}">
              <a16:creationId xmlns:a16="http://schemas.microsoft.com/office/drawing/2014/main" id="{CF14ED58-7CE4-4DFD-9CFD-9EDFAA0F5F73}"/>
            </a:ext>
          </a:extLst>
        </xdr:cNvPr>
        <xdr:cNvSpPr/>
      </xdr:nvSpPr>
      <xdr:spPr>
        <a:xfrm>
          <a:off x="8727077" y="14264640"/>
          <a:ext cx="1862545" cy="594360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10</xdr:col>
      <xdr:colOff>297657</xdr:colOff>
      <xdr:row>48</xdr:row>
      <xdr:rowOff>163287</xdr:rowOff>
    </xdr:from>
    <xdr:to>
      <xdr:col>11</xdr:col>
      <xdr:colOff>833437</xdr:colOff>
      <xdr:row>52</xdr:row>
      <xdr:rowOff>54430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3FFDD1C5-3E43-4FE2-8A61-168607038EA7}"/>
            </a:ext>
          </a:extLst>
        </xdr:cNvPr>
        <xdr:cNvSpPr/>
      </xdr:nvSpPr>
      <xdr:spPr>
        <a:xfrm>
          <a:off x="11025188" y="15236600"/>
          <a:ext cx="1345405" cy="605518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5</xdr:col>
      <xdr:colOff>2943</xdr:colOff>
      <xdr:row>50</xdr:row>
      <xdr:rowOff>114301</xdr:rowOff>
    </xdr:from>
    <xdr:to>
      <xdr:col>5</xdr:col>
      <xdr:colOff>968188</xdr:colOff>
      <xdr:row>52</xdr:row>
      <xdr:rowOff>58784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D8A47F4E-9381-46B3-831F-B6392444D510}"/>
            </a:ext>
          </a:extLst>
        </xdr:cNvPr>
        <xdr:cNvSpPr txBox="1"/>
      </xdr:nvSpPr>
      <xdr:spPr>
        <a:xfrm>
          <a:off x="6853323" y="14455141"/>
          <a:ext cx="965245" cy="3102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200" kern="1200"/>
            <a:t>CONTABLE</a:t>
          </a:r>
        </a:p>
      </xdr:txBody>
    </xdr:sp>
    <xdr:clientData/>
  </xdr:twoCellAnchor>
  <xdr:twoCellAnchor>
    <xdr:from>
      <xdr:col>6</xdr:col>
      <xdr:colOff>964407</xdr:colOff>
      <xdr:row>50</xdr:row>
      <xdr:rowOff>59531</xdr:rowOff>
    </xdr:from>
    <xdr:to>
      <xdr:col>7</xdr:col>
      <xdr:colOff>1012031</xdr:colOff>
      <xdr:row>51</xdr:row>
      <xdr:rowOff>95250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4A6893B8-8603-4E9A-A646-A079CE1573C1}"/>
            </a:ext>
          </a:extLst>
        </xdr:cNvPr>
        <xdr:cNvSpPr txBox="1"/>
      </xdr:nvSpPr>
      <xdr:spPr>
        <a:xfrm>
          <a:off x="7369970" y="15490031"/>
          <a:ext cx="1285874" cy="2143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kern="1200"/>
            <a:t>PRODUCCIÓN</a:t>
          </a:r>
        </a:p>
      </xdr:txBody>
    </xdr:sp>
    <xdr:clientData/>
  </xdr:twoCellAnchor>
  <xdr:twoCellAnchor>
    <xdr:from>
      <xdr:col>10</xdr:col>
      <xdr:colOff>382541</xdr:colOff>
      <xdr:row>49</xdr:row>
      <xdr:rowOff>128449</xdr:rowOff>
    </xdr:from>
    <xdr:to>
      <xdr:col>11</xdr:col>
      <xdr:colOff>738188</xdr:colOff>
      <xdr:row>51</xdr:row>
      <xdr:rowOff>154781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B093179-98EC-43F2-AB9B-640BAB4B06E9}"/>
            </a:ext>
          </a:extLst>
        </xdr:cNvPr>
        <xdr:cNvSpPr txBox="1"/>
      </xdr:nvSpPr>
      <xdr:spPr>
        <a:xfrm>
          <a:off x="11110072" y="15380355"/>
          <a:ext cx="1165272" cy="3835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kern="1200"/>
            <a:t>DISTRIBUCIÓN</a:t>
          </a:r>
        </a:p>
      </xdr:txBody>
    </xdr:sp>
    <xdr:clientData/>
  </xdr:twoCellAnchor>
  <xdr:twoCellAnchor>
    <xdr:from>
      <xdr:col>4</xdr:col>
      <xdr:colOff>1923506</xdr:colOff>
      <xdr:row>64</xdr:row>
      <xdr:rowOff>119742</xdr:rowOff>
    </xdr:from>
    <xdr:to>
      <xdr:col>5</xdr:col>
      <xdr:colOff>1097280</xdr:colOff>
      <xdr:row>68</xdr:row>
      <xdr:rowOff>7620</xdr:rowOff>
    </xdr:to>
    <xdr:sp macro="" textlink="">
      <xdr:nvSpPr>
        <xdr:cNvPr id="20" name="Rectángulo: esquinas redondeadas 19">
          <a:extLst>
            <a:ext uri="{FF2B5EF4-FFF2-40B4-BE49-F238E27FC236}">
              <a16:creationId xmlns:a16="http://schemas.microsoft.com/office/drawing/2014/main" id="{7DDD2D49-1D3A-4620-AB24-A67DE7ECEE8D}"/>
            </a:ext>
          </a:extLst>
        </xdr:cNvPr>
        <xdr:cNvSpPr/>
      </xdr:nvSpPr>
      <xdr:spPr>
        <a:xfrm>
          <a:off x="6853646" y="17020902"/>
          <a:ext cx="1094014" cy="619398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6</xdr:col>
      <xdr:colOff>284117</xdr:colOff>
      <xdr:row>64</xdr:row>
      <xdr:rowOff>67491</xdr:rowOff>
    </xdr:from>
    <xdr:to>
      <xdr:col>7</xdr:col>
      <xdr:colOff>342900</xdr:colOff>
      <xdr:row>67</xdr:row>
      <xdr:rowOff>174171</xdr:rowOff>
    </xdr:to>
    <xdr:sp macro="" textlink="">
      <xdr:nvSpPr>
        <xdr:cNvPr id="21" name="Rectángulo: esquinas redondeadas 20">
          <a:extLst>
            <a:ext uri="{FF2B5EF4-FFF2-40B4-BE49-F238E27FC236}">
              <a16:creationId xmlns:a16="http://schemas.microsoft.com/office/drawing/2014/main" id="{9415CCE7-32D6-46AA-A96E-E174B65A1F8C}"/>
            </a:ext>
          </a:extLst>
        </xdr:cNvPr>
        <xdr:cNvSpPr/>
      </xdr:nvSpPr>
      <xdr:spPr>
        <a:xfrm>
          <a:off x="8231777" y="16968651"/>
          <a:ext cx="1598023" cy="655320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8</xdr:col>
      <xdr:colOff>11974</xdr:colOff>
      <xdr:row>64</xdr:row>
      <xdr:rowOff>65314</xdr:rowOff>
    </xdr:from>
    <xdr:to>
      <xdr:col>9</xdr:col>
      <xdr:colOff>562792</xdr:colOff>
      <xdr:row>67</xdr:row>
      <xdr:rowOff>181791</xdr:rowOff>
    </xdr:to>
    <xdr:sp macro="" textlink="">
      <xdr:nvSpPr>
        <xdr:cNvPr id="22" name="Rectángulo: esquinas redondeadas 21">
          <a:extLst>
            <a:ext uri="{FF2B5EF4-FFF2-40B4-BE49-F238E27FC236}">
              <a16:creationId xmlns:a16="http://schemas.microsoft.com/office/drawing/2014/main" id="{D0762B82-F25D-4A1F-A7B6-1B9887E17412}"/>
            </a:ext>
          </a:extLst>
        </xdr:cNvPr>
        <xdr:cNvSpPr/>
      </xdr:nvSpPr>
      <xdr:spPr>
        <a:xfrm>
          <a:off x="10558054" y="16966474"/>
          <a:ext cx="2219598" cy="665117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10</xdr:col>
      <xdr:colOff>536665</xdr:colOff>
      <xdr:row>64</xdr:row>
      <xdr:rowOff>149134</xdr:rowOff>
    </xdr:from>
    <xdr:to>
      <xdr:col>11</xdr:col>
      <xdr:colOff>876300</xdr:colOff>
      <xdr:row>68</xdr:row>
      <xdr:rowOff>25037</xdr:rowOff>
    </xdr:to>
    <xdr:sp macro="" textlink="">
      <xdr:nvSpPr>
        <xdr:cNvPr id="23" name="Rectángulo: esquinas redondeadas 22">
          <a:extLst>
            <a:ext uri="{FF2B5EF4-FFF2-40B4-BE49-F238E27FC236}">
              <a16:creationId xmlns:a16="http://schemas.microsoft.com/office/drawing/2014/main" id="{D4BBCD7E-D9ED-46C4-9BD3-9193C5E480CA}"/>
            </a:ext>
          </a:extLst>
        </xdr:cNvPr>
        <xdr:cNvSpPr/>
      </xdr:nvSpPr>
      <xdr:spPr>
        <a:xfrm>
          <a:off x="11928565" y="18218059"/>
          <a:ext cx="1149260" cy="599803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4</xdr:col>
      <xdr:colOff>2013857</xdr:colOff>
      <xdr:row>65</xdr:row>
      <xdr:rowOff>19594</xdr:rowOff>
    </xdr:from>
    <xdr:to>
      <xdr:col>5</xdr:col>
      <xdr:colOff>1073331</xdr:colOff>
      <xdr:row>66</xdr:row>
      <xdr:rowOff>126274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9E4CE037-7F1C-4C65-A57D-7B5B7918E5AA}"/>
            </a:ext>
          </a:extLst>
        </xdr:cNvPr>
        <xdr:cNvSpPr txBox="1"/>
      </xdr:nvSpPr>
      <xdr:spPr>
        <a:xfrm>
          <a:off x="6852557" y="17103634"/>
          <a:ext cx="1071154" cy="2895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200" kern="1200"/>
            <a:t>PAN ACEMAS</a:t>
          </a:r>
        </a:p>
      </xdr:txBody>
    </xdr:sp>
    <xdr:clientData/>
  </xdr:twoCellAnchor>
  <xdr:twoCellAnchor>
    <xdr:from>
      <xdr:col>6</xdr:col>
      <xdr:colOff>676003</xdr:colOff>
      <xdr:row>65</xdr:row>
      <xdr:rowOff>20683</xdr:rowOff>
    </xdr:from>
    <xdr:to>
      <xdr:col>7</xdr:col>
      <xdr:colOff>155666</xdr:colOff>
      <xdr:row>66</xdr:row>
      <xdr:rowOff>134983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47E37674-0D63-43A8-8A38-AFDFB08001E7}"/>
            </a:ext>
          </a:extLst>
        </xdr:cNvPr>
        <xdr:cNvSpPr txBox="1"/>
      </xdr:nvSpPr>
      <xdr:spPr>
        <a:xfrm>
          <a:off x="8623663" y="17104723"/>
          <a:ext cx="1018903" cy="2971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200" kern="1200"/>
            <a:t>PAN SAL</a:t>
          </a:r>
        </a:p>
      </xdr:txBody>
    </xdr:sp>
    <xdr:clientData/>
  </xdr:twoCellAnchor>
  <xdr:twoCellAnchor>
    <xdr:from>
      <xdr:col>8</xdr:col>
      <xdr:colOff>357051</xdr:colOff>
      <xdr:row>65</xdr:row>
      <xdr:rowOff>38100</xdr:rowOff>
    </xdr:from>
    <xdr:to>
      <xdr:col>9</xdr:col>
      <xdr:colOff>488769</xdr:colOff>
      <xdr:row>66</xdr:row>
      <xdr:rowOff>99060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2ECE1ABC-54F8-422E-A0E8-C7EDAAB42E90}"/>
            </a:ext>
          </a:extLst>
        </xdr:cNvPr>
        <xdr:cNvSpPr txBox="1"/>
      </xdr:nvSpPr>
      <xdr:spPr>
        <a:xfrm>
          <a:off x="10903131" y="17122140"/>
          <a:ext cx="1800498" cy="2438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200" kern="1200"/>
            <a:t>PAN MOLLETE</a:t>
          </a:r>
        </a:p>
      </xdr:txBody>
    </xdr:sp>
    <xdr:clientData/>
  </xdr:twoCellAnchor>
  <xdr:twoCellAnchor>
    <xdr:from>
      <xdr:col>10</xdr:col>
      <xdr:colOff>757645</xdr:colOff>
      <xdr:row>65</xdr:row>
      <xdr:rowOff>116477</xdr:rowOff>
    </xdr:from>
    <xdr:to>
      <xdr:col>11</xdr:col>
      <xdr:colOff>657225</xdr:colOff>
      <xdr:row>67</xdr:row>
      <xdr:rowOff>9525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04F5869D-107B-4826-BADF-FE4C9E9449C6}"/>
            </a:ext>
          </a:extLst>
        </xdr:cNvPr>
        <xdr:cNvSpPr txBox="1"/>
      </xdr:nvSpPr>
      <xdr:spPr>
        <a:xfrm>
          <a:off x="12149545" y="18366377"/>
          <a:ext cx="709205" cy="2549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200" kern="1200"/>
            <a:t>TORTAS</a:t>
          </a:r>
        </a:p>
      </xdr:txBody>
    </xdr:sp>
    <xdr:clientData/>
  </xdr:twoCellAnchor>
  <xdr:twoCellAnchor>
    <xdr:from>
      <xdr:col>4</xdr:col>
      <xdr:colOff>179295</xdr:colOff>
      <xdr:row>55</xdr:row>
      <xdr:rowOff>97973</xdr:rowOff>
    </xdr:from>
    <xdr:to>
      <xdr:col>5</xdr:col>
      <xdr:colOff>2946</xdr:colOff>
      <xdr:row>59</xdr:row>
      <xdr:rowOff>0</xdr:rowOff>
    </xdr:to>
    <xdr:sp macro="" textlink="">
      <xdr:nvSpPr>
        <xdr:cNvPr id="28" name="Rectángulo: esquinas redondeadas 27">
          <a:extLst>
            <a:ext uri="{FF2B5EF4-FFF2-40B4-BE49-F238E27FC236}">
              <a16:creationId xmlns:a16="http://schemas.microsoft.com/office/drawing/2014/main" id="{66345094-995F-4A92-8E9F-C4E8E4C25811}"/>
            </a:ext>
          </a:extLst>
        </xdr:cNvPr>
        <xdr:cNvSpPr/>
      </xdr:nvSpPr>
      <xdr:spPr>
        <a:xfrm>
          <a:off x="5528535" y="15353213"/>
          <a:ext cx="1324791" cy="633547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3</xdr:col>
      <xdr:colOff>1045030</xdr:colOff>
      <xdr:row>56</xdr:row>
      <xdr:rowOff>10886</xdr:rowOff>
    </xdr:from>
    <xdr:to>
      <xdr:col>4</xdr:col>
      <xdr:colOff>80684</xdr:colOff>
      <xdr:row>58</xdr:row>
      <xdr:rowOff>141515</xdr:rowOff>
    </xdr:to>
    <xdr:sp macro="" textlink="">
      <xdr:nvSpPr>
        <xdr:cNvPr id="29" name="Rectángulo: esquinas redondeadas 28">
          <a:extLst>
            <a:ext uri="{FF2B5EF4-FFF2-40B4-BE49-F238E27FC236}">
              <a16:creationId xmlns:a16="http://schemas.microsoft.com/office/drawing/2014/main" id="{C4838D12-9808-4568-811F-2B80523B5BCD}"/>
            </a:ext>
          </a:extLst>
        </xdr:cNvPr>
        <xdr:cNvSpPr/>
      </xdr:nvSpPr>
      <xdr:spPr>
        <a:xfrm>
          <a:off x="4306390" y="15449006"/>
          <a:ext cx="1123534" cy="496389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4</xdr:col>
      <xdr:colOff>1970315</xdr:colOff>
      <xdr:row>55</xdr:row>
      <xdr:rowOff>108859</xdr:rowOff>
    </xdr:from>
    <xdr:to>
      <xdr:col>5</xdr:col>
      <xdr:colOff>816429</xdr:colOff>
      <xdr:row>59</xdr:row>
      <xdr:rowOff>2</xdr:rowOff>
    </xdr:to>
    <xdr:sp macro="" textlink="">
      <xdr:nvSpPr>
        <xdr:cNvPr id="30" name="Rectángulo: esquinas redondeadas 29">
          <a:extLst>
            <a:ext uri="{FF2B5EF4-FFF2-40B4-BE49-F238E27FC236}">
              <a16:creationId xmlns:a16="http://schemas.microsoft.com/office/drawing/2014/main" id="{247E4F5F-DF30-4D0B-A767-0237D475AC8A}"/>
            </a:ext>
          </a:extLst>
        </xdr:cNvPr>
        <xdr:cNvSpPr/>
      </xdr:nvSpPr>
      <xdr:spPr>
        <a:xfrm>
          <a:off x="6847115" y="15364099"/>
          <a:ext cx="819694" cy="622663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5</xdr:col>
      <xdr:colOff>860612</xdr:colOff>
      <xdr:row>55</xdr:row>
      <xdr:rowOff>108858</xdr:rowOff>
    </xdr:from>
    <xdr:to>
      <xdr:col>6</xdr:col>
      <xdr:colOff>744071</xdr:colOff>
      <xdr:row>58</xdr:row>
      <xdr:rowOff>174171</xdr:rowOff>
    </xdr:to>
    <xdr:sp macro="" textlink="">
      <xdr:nvSpPr>
        <xdr:cNvPr id="31" name="Rectángulo: esquinas redondeadas 30">
          <a:extLst>
            <a:ext uri="{FF2B5EF4-FFF2-40B4-BE49-F238E27FC236}">
              <a16:creationId xmlns:a16="http://schemas.microsoft.com/office/drawing/2014/main" id="{3D7CC94D-B434-42E3-BA23-FC9D5C3264B5}"/>
            </a:ext>
          </a:extLst>
        </xdr:cNvPr>
        <xdr:cNvSpPr/>
      </xdr:nvSpPr>
      <xdr:spPr>
        <a:xfrm>
          <a:off x="7710992" y="15364098"/>
          <a:ext cx="980739" cy="613953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6</xdr:col>
      <xdr:colOff>914400</xdr:colOff>
      <xdr:row>55</xdr:row>
      <xdr:rowOff>119743</xdr:rowOff>
    </xdr:from>
    <xdr:to>
      <xdr:col>7</xdr:col>
      <xdr:colOff>391886</xdr:colOff>
      <xdr:row>58</xdr:row>
      <xdr:rowOff>163286</xdr:rowOff>
    </xdr:to>
    <xdr:sp macro="" textlink="">
      <xdr:nvSpPr>
        <xdr:cNvPr id="32" name="Rectángulo: esquinas redondeadas 31">
          <a:extLst>
            <a:ext uri="{FF2B5EF4-FFF2-40B4-BE49-F238E27FC236}">
              <a16:creationId xmlns:a16="http://schemas.microsoft.com/office/drawing/2014/main" id="{C04D30C4-3FB6-4C52-8819-B100084B5AEE}"/>
            </a:ext>
          </a:extLst>
        </xdr:cNvPr>
        <xdr:cNvSpPr/>
      </xdr:nvSpPr>
      <xdr:spPr>
        <a:xfrm>
          <a:off x="8862060" y="15374983"/>
          <a:ext cx="1016726" cy="592183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3</xdr:col>
      <xdr:colOff>1290919</xdr:colOff>
      <xdr:row>56</xdr:row>
      <xdr:rowOff>97971</xdr:rowOff>
    </xdr:from>
    <xdr:to>
      <xdr:col>3</xdr:col>
      <xdr:colOff>1927413</xdr:colOff>
      <xdr:row>58</xdr:row>
      <xdr:rowOff>54429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50917CA0-8846-47EC-B522-EA85CABD885E}"/>
            </a:ext>
          </a:extLst>
        </xdr:cNvPr>
        <xdr:cNvSpPr txBox="1"/>
      </xdr:nvSpPr>
      <xdr:spPr>
        <a:xfrm>
          <a:off x="4552279" y="15536091"/>
          <a:ext cx="636494" cy="3222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kern="1200"/>
            <a:t>PESAR</a:t>
          </a:r>
        </a:p>
      </xdr:txBody>
    </xdr:sp>
    <xdr:clientData/>
  </xdr:twoCellAnchor>
  <xdr:twoCellAnchor>
    <xdr:from>
      <xdr:col>4</xdr:col>
      <xdr:colOff>233084</xdr:colOff>
      <xdr:row>55</xdr:row>
      <xdr:rowOff>170329</xdr:rowOff>
    </xdr:from>
    <xdr:to>
      <xdr:col>4</xdr:col>
      <xdr:colOff>1407459</xdr:colOff>
      <xdr:row>58</xdr:row>
      <xdr:rowOff>97971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BC0A9BE2-342A-4319-B306-69707F950208}"/>
            </a:ext>
          </a:extLst>
        </xdr:cNvPr>
        <xdr:cNvSpPr txBox="1"/>
      </xdr:nvSpPr>
      <xdr:spPr>
        <a:xfrm>
          <a:off x="5582324" y="15425569"/>
          <a:ext cx="1174375" cy="4762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kern="1200"/>
            <a:t>GRAMAJE DE INGREDIENTES</a:t>
          </a:r>
        </a:p>
      </xdr:txBody>
    </xdr:sp>
    <xdr:clientData/>
  </xdr:twoCellAnchor>
  <xdr:twoCellAnchor>
    <xdr:from>
      <xdr:col>4</xdr:col>
      <xdr:colOff>2002972</xdr:colOff>
      <xdr:row>56</xdr:row>
      <xdr:rowOff>43542</xdr:rowOff>
    </xdr:from>
    <xdr:to>
      <xdr:col>5</xdr:col>
      <xdr:colOff>772886</xdr:colOff>
      <xdr:row>58</xdr:row>
      <xdr:rowOff>163286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FC5CE5A8-A8C3-4642-AD87-EBCCDDEAC2EC}"/>
            </a:ext>
          </a:extLst>
        </xdr:cNvPr>
        <xdr:cNvSpPr txBox="1"/>
      </xdr:nvSpPr>
      <xdr:spPr>
        <a:xfrm>
          <a:off x="6849292" y="15481662"/>
          <a:ext cx="773974" cy="4855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kern="1200"/>
            <a:t>MEZCLA Y PREPARACIÓN</a:t>
          </a:r>
        </a:p>
      </xdr:txBody>
    </xdr:sp>
    <xdr:clientData/>
  </xdr:twoCellAnchor>
  <xdr:twoCellAnchor>
    <xdr:from>
      <xdr:col>5</xdr:col>
      <xdr:colOff>923365</xdr:colOff>
      <xdr:row>56</xdr:row>
      <xdr:rowOff>43542</xdr:rowOff>
    </xdr:from>
    <xdr:to>
      <xdr:col>6</xdr:col>
      <xdr:colOff>674916</xdr:colOff>
      <xdr:row>58</xdr:row>
      <xdr:rowOff>54428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A02347BC-711F-4205-BB1B-F3B3CE017A36}"/>
            </a:ext>
          </a:extLst>
        </xdr:cNvPr>
        <xdr:cNvSpPr txBox="1"/>
      </xdr:nvSpPr>
      <xdr:spPr>
        <a:xfrm>
          <a:off x="7773745" y="15481662"/>
          <a:ext cx="848831" cy="3766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kern="1200"/>
            <a:t>AMASADO</a:t>
          </a:r>
        </a:p>
      </xdr:txBody>
    </xdr:sp>
    <xdr:clientData/>
  </xdr:twoCellAnchor>
  <xdr:twoCellAnchor>
    <xdr:from>
      <xdr:col>6</xdr:col>
      <xdr:colOff>1066799</xdr:colOff>
      <xdr:row>56</xdr:row>
      <xdr:rowOff>0</xdr:rowOff>
    </xdr:from>
    <xdr:to>
      <xdr:col>7</xdr:col>
      <xdr:colOff>228599</xdr:colOff>
      <xdr:row>57</xdr:row>
      <xdr:rowOff>141514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741CC338-37AC-4607-ADB5-7A59B5671C5E}"/>
            </a:ext>
          </a:extLst>
        </xdr:cNvPr>
        <xdr:cNvSpPr txBox="1"/>
      </xdr:nvSpPr>
      <xdr:spPr>
        <a:xfrm>
          <a:off x="9014459" y="15438120"/>
          <a:ext cx="701040" cy="3243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kern="1200"/>
            <a:t>CORTE</a:t>
          </a:r>
        </a:p>
      </xdr:txBody>
    </xdr:sp>
    <xdr:clientData/>
  </xdr:twoCellAnchor>
  <xdr:twoCellAnchor>
    <xdr:from>
      <xdr:col>7</xdr:col>
      <xdr:colOff>696687</xdr:colOff>
      <xdr:row>55</xdr:row>
      <xdr:rowOff>141515</xdr:rowOff>
    </xdr:from>
    <xdr:to>
      <xdr:col>9</xdr:col>
      <xdr:colOff>261258</xdr:colOff>
      <xdr:row>59</xdr:row>
      <xdr:rowOff>1</xdr:rowOff>
    </xdr:to>
    <xdr:sp macro="" textlink="">
      <xdr:nvSpPr>
        <xdr:cNvPr id="38" name="Rectángulo: esquinas redondeadas 37">
          <a:extLst>
            <a:ext uri="{FF2B5EF4-FFF2-40B4-BE49-F238E27FC236}">
              <a16:creationId xmlns:a16="http://schemas.microsoft.com/office/drawing/2014/main" id="{23DA7A98-603E-415D-A174-6C1185DC3AA4}"/>
            </a:ext>
          </a:extLst>
        </xdr:cNvPr>
        <xdr:cNvSpPr/>
      </xdr:nvSpPr>
      <xdr:spPr>
        <a:xfrm>
          <a:off x="10183587" y="15396755"/>
          <a:ext cx="2292531" cy="590006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9</xdr:col>
      <xdr:colOff>533400</xdr:colOff>
      <xdr:row>55</xdr:row>
      <xdr:rowOff>141516</xdr:rowOff>
    </xdr:from>
    <xdr:to>
      <xdr:col>11</xdr:col>
      <xdr:colOff>0</xdr:colOff>
      <xdr:row>59</xdr:row>
      <xdr:rowOff>0</xdr:rowOff>
    </xdr:to>
    <xdr:sp macro="" textlink="">
      <xdr:nvSpPr>
        <xdr:cNvPr id="39" name="Rectángulo: esquinas redondeadas 38">
          <a:extLst>
            <a:ext uri="{FF2B5EF4-FFF2-40B4-BE49-F238E27FC236}">
              <a16:creationId xmlns:a16="http://schemas.microsoft.com/office/drawing/2014/main" id="{043F8832-51A1-4E73-976A-236792A9100E}"/>
            </a:ext>
          </a:extLst>
        </xdr:cNvPr>
        <xdr:cNvSpPr/>
      </xdr:nvSpPr>
      <xdr:spPr>
        <a:xfrm>
          <a:off x="12748260" y="15396756"/>
          <a:ext cx="1630680" cy="590004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11</xdr:col>
      <xdr:colOff>0</xdr:colOff>
      <xdr:row>55</xdr:row>
      <xdr:rowOff>152400</xdr:rowOff>
    </xdr:from>
    <xdr:to>
      <xdr:col>12</xdr:col>
      <xdr:colOff>293914</xdr:colOff>
      <xdr:row>59</xdr:row>
      <xdr:rowOff>10886</xdr:rowOff>
    </xdr:to>
    <xdr:sp macro="" textlink="">
      <xdr:nvSpPr>
        <xdr:cNvPr id="40" name="Rectángulo: esquinas redondeadas 39">
          <a:extLst>
            <a:ext uri="{FF2B5EF4-FFF2-40B4-BE49-F238E27FC236}">
              <a16:creationId xmlns:a16="http://schemas.microsoft.com/office/drawing/2014/main" id="{E63F4E66-FF2C-4B6C-A0BC-163CDFCA1832}"/>
            </a:ext>
          </a:extLst>
        </xdr:cNvPr>
        <xdr:cNvSpPr/>
      </xdr:nvSpPr>
      <xdr:spPr>
        <a:xfrm>
          <a:off x="14378940" y="15407640"/>
          <a:ext cx="1513114" cy="590006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8</xdr:col>
      <xdr:colOff>10885</xdr:colOff>
      <xdr:row>56</xdr:row>
      <xdr:rowOff>10885</xdr:rowOff>
    </xdr:from>
    <xdr:to>
      <xdr:col>9</xdr:col>
      <xdr:colOff>152400</xdr:colOff>
      <xdr:row>58</xdr:row>
      <xdr:rowOff>108857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BC46CCD9-015A-4804-B19C-690DAF8F990C}"/>
            </a:ext>
          </a:extLst>
        </xdr:cNvPr>
        <xdr:cNvSpPr txBox="1"/>
      </xdr:nvSpPr>
      <xdr:spPr>
        <a:xfrm>
          <a:off x="10556965" y="15449005"/>
          <a:ext cx="1810295" cy="4637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kern="1200"/>
            <a:t>DAR FORMA AL PAN</a:t>
          </a:r>
        </a:p>
      </xdr:txBody>
    </xdr:sp>
    <xdr:clientData/>
  </xdr:twoCellAnchor>
  <xdr:twoCellAnchor>
    <xdr:from>
      <xdr:col>9</xdr:col>
      <xdr:colOff>609600</xdr:colOff>
      <xdr:row>56</xdr:row>
      <xdr:rowOff>21770</xdr:rowOff>
    </xdr:from>
    <xdr:to>
      <xdr:col>11</xdr:col>
      <xdr:colOff>0</xdr:colOff>
      <xdr:row>58</xdr:row>
      <xdr:rowOff>130627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507AA78-B9EF-4BE7-81CF-D7E8E5663429}"/>
            </a:ext>
          </a:extLst>
        </xdr:cNvPr>
        <xdr:cNvSpPr txBox="1"/>
      </xdr:nvSpPr>
      <xdr:spPr>
        <a:xfrm>
          <a:off x="12824460" y="15459890"/>
          <a:ext cx="1554480" cy="4746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kern="1200"/>
            <a:t>PREPARAR EL HORNO</a:t>
          </a:r>
        </a:p>
      </xdr:txBody>
    </xdr:sp>
    <xdr:clientData/>
  </xdr:twoCellAnchor>
  <xdr:twoCellAnchor>
    <xdr:from>
      <xdr:col>12</xdr:col>
      <xdr:colOff>587829</xdr:colOff>
      <xdr:row>55</xdr:row>
      <xdr:rowOff>152400</xdr:rowOff>
    </xdr:from>
    <xdr:to>
      <xdr:col>14</xdr:col>
      <xdr:colOff>108858</xdr:colOff>
      <xdr:row>59</xdr:row>
      <xdr:rowOff>10886</xdr:rowOff>
    </xdr:to>
    <xdr:sp macro="" textlink="">
      <xdr:nvSpPr>
        <xdr:cNvPr id="43" name="Rectángulo: esquinas redondeadas 42">
          <a:extLst>
            <a:ext uri="{FF2B5EF4-FFF2-40B4-BE49-F238E27FC236}">
              <a16:creationId xmlns:a16="http://schemas.microsoft.com/office/drawing/2014/main" id="{8BDC87A2-067B-456B-BA17-D9A725C0B484}"/>
            </a:ext>
          </a:extLst>
        </xdr:cNvPr>
        <xdr:cNvSpPr/>
      </xdr:nvSpPr>
      <xdr:spPr>
        <a:xfrm>
          <a:off x="16185969" y="15407640"/>
          <a:ext cx="1486989" cy="590006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11</xdr:col>
      <xdr:colOff>21771</xdr:colOff>
      <xdr:row>56</xdr:row>
      <xdr:rowOff>108856</xdr:rowOff>
    </xdr:from>
    <xdr:to>
      <xdr:col>12</xdr:col>
      <xdr:colOff>217714</xdr:colOff>
      <xdr:row>58</xdr:row>
      <xdr:rowOff>87085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57BB854B-AA31-43AC-A309-3BD3DEAFD82B}"/>
            </a:ext>
          </a:extLst>
        </xdr:cNvPr>
        <xdr:cNvSpPr txBox="1"/>
      </xdr:nvSpPr>
      <xdr:spPr>
        <a:xfrm>
          <a:off x="14400711" y="15546976"/>
          <a:ext cx="1415143" cy="34398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kern="1200"/>
            <a:t>CALDEADO</a:t>
          </a:r>
        </a:p>
      </xdr:txBody>
    </xdr:sp>
    <xdr:clientData/>
  </xdr:twoCellAnchor>
  <xdr:twoCellAnchor>
    <xdr:from>
      <xdr:col>12</xdr:col>
      <xdr:colOff>718457</xdr:colOff>
      <xdr:row>56</xdr:row>
      <xdr:rowOff>119742</xdr:rowOff>
    </xdr:from>
    <xdr:to>
      <xdr:col>13</xdr:col>
      <xdr:colOff>783772</xdr:colOff>
      <xdr:row>58</xdr:row>
      <xdr:rowOff>10886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4EF549F2-99BB-406C-BFEE-A94958CCC64C}"/>
            </a:ext>
          </a:extLst>
        </xdr:cNvPr>
        <xdr:cNvSpPr txBox="1"/>
      </xdr:nvSpPr>
      <xdr:spPr>
        <a:xfrm>
          <a:off x="16316597" y="15557862"/>
          <a:ext cx="857795" cy="2569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kern="1200"/>
            <a:t>COCCIÓN</a:t>
          </a:r>
        </a:p>
      </xdr:txBody>
    </xdr:sp>
    <xdr:clientData/>
  </xdr:twoCellAnchor>
  <xdr:twoCellAnchor>
    <xdr:from>
      <xdr:col>3</xdr:col>
      <xdr:colOff>1095376</xdr:colOff>
      <xdr:row>44</xdr:row>
      <xdr:rowOff>120015</xdr:rowOff>
    </xdr:from>
    <xdr:to>
      <xdr:col>6</xdr:col>
      <xdr:colOff>817517</xdr:colOff>
      <xdr:row>51</xdr:row>
      <xdr:rowOff>29528</xdr:rowOff>
    </xdr:to>
    <xdr:cxnSp macro="">
      <xdr:nvCxnSpPr>
        <xdr:cNvPr id="47" name="Conector recto de flecha 46">
          <a:extLst>
            <a:ext uri="{FF2B5EF4-FFF2-40B4-BE49-F238E27FC236}">
              <a16:creationId xmlns:a16="http://schemas.microsoft.com/office/drawing/2014/main" id="{B6BAE70C-C727-4C40-BCE1-67210CF483ED}"/>
            </a:ext>
          </a:extLst>
        </xdr:cNvPr>
        <xdr:cNvCxnSpPr/>
      </xdr:nvCxnSpPr>
      <xdr:spPr>
        <a:xfrm>
          <a:off x="4352926" y="15293340"/>
          <a:ext cx="3208291" cy="117633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1057276</xdr:colOff>
      <xdr:row>44</xdr:row>
      <xdr:rowOff>129540</xdr:rowOff>
    </xdr:from>
    <xdr:to>
      <xdr:col>10</xdr:col>
      <xdr:colOff>391885</xdr:colOff>
      <xdr:row>50</xdr:row>
      <xdr:rowOff>65314</xdr:rowOff>
    </xdr:to>
    <xdr:cxnSp macro="">
      <xdr:nvCxnSpPr>
        <xdr:cNvPr id="48" name="Conector recto de flecha 47">
          <a:extLst>
            <a:ext uri="{FF2B5EF4-FFF2-40B4-BE49-F238E27FC236}">
              <a16:creationId xmlns:a16="http://schemas.microsoft.com/office/drawing/2014/main" id="{2F6CEEE6-023E-4899-AF2B-EE11C10EB8E2}"/>
            </a:ext>
          </a:extLst>
        </xdr:cNvPr>
        <xdr:cNvCxnSpPr>
          <a:stCxn id="4" idx="3"/>
        </xdr:cNvCxnSpPr>
      </xdr:nvCxnSpPr>
      <xdr:spPr>
        <a:xfrm>
          <a:off x="4314826" y="15302865"/>
          <a:ext cx="6325959" cy="1021624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2100943</xdr:colOff>
      <xdr:row>45</xdr:row>
      <xdr:rowOff>21771</xdr:rowOff>
    </xdr:from>
    <xdr:to>
      <xdr:col>6</xdr:col>
      <xdr:colOff>903515</xdr:colOff>
      <xdr:row>49</xdr:row>
      <xdr:rowOff>87085</xdr:rowOff>
    </xdr:to>
    <xdr:cxnSp macro="">
      <xdr:nvCxnSpPr>
        <xdr:cNvPr id="49" name="Conector recto de flecha 48">
          <a:extLst>
            <a:ext uri="{FF2B5EF4-FFF2-40B4-BE49-F238E27FC236}">
              <a16:creationId xmlns:a16="http://schemas.microsoft.com/office/drawing/2014/main" id="{74EFB816-DC6E-4CFA-AE6B-4CCFCA0212ED}"/>
            </a:ext>
          </a:extLst>
        </xdr:cNvPr>
        <xdr:cNvCxnSpPr/>
      </xdr:nvCxnSpPr>
      <xdr:spPr>
        <a:xfrm>
          <a:off x="6848203" y="13448211"/>
          <a:ext cx="2002972" cy="796834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402772</xdr:colOff>
      <xdr:row>45</xdr:row>
      <xdr:rowOff>65314</xdr:rowOff>
    </xdr:from>
    <xdr:to>
      <xdr:col>5</xdr:col>
      <xdr:colOff>805543</xdr:colOff>
      <xdr:row>50</xdr:row>
      <xdr:rowOff>43543</xdr:rowOff>
    </xdr:to>
    <xdr:cxnSp macro="">
      <xdr:nvCxnSpPr>
        <xdr:cNvPr id="50" name="Conector recto de flecha 49">
          <a:extLst>
            <a:ext uri="{FF2B5EF4-FFF2-40B4-BE49-F238E27FC236}">
              <a16:creationId xmlns:a16="http://schemas.microsoft.com/office/drawing/2014/main" id="{CCA7333B-A03E-4359-B2EA-F65569D61A3B}"/>
            </a:ext>
          </a:extLst>
        </xdr:cNvPr>
        <xdr:cNvCxnSpPr/>
      </xdr:nvCxnSpPr>
      <xdr:spPr>
        <a:xfrm flipH="1">
          <a:off x="7253152" y="13491754"/>
          <a:ext cx="402771" cy="892629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609600</xdr:colOff>
      <xdr:row>45</xdr:row>
      <xdr:rowOff>32657</xdr:rowOff>
    </xdr:from>
    <xdr:to>
      <xdr:col>6</xdr:col>
      <xdr:colOff>1349829</xdr:colOff>
      <xdr:row>49</xdr:row>
      <xdr:rowOff>65314</xdr:rowOff>
    </xdr:to>
    <xdr:cxnSp macro="">
      <xdr:nvCxnSpPr>
        <xdr:cNvPr id="51" name="Conector recto de flecha 50">
          <a:extLst>
            <a:ext uri="{FF2B5EF4-FFF2-40B4-BE49-F238E27FC236}">
              <a16:creationId xmlns:a16="http://schemas.microsoft.com/office/drawing/2014/main" id="{1C5036C8-AEC1-4752-B6A9-069427EF5F6C}"/>
            </a:ext>
          </a:extLst>
        </xdr:cNvPr>
        <xdr:cNvCxnSpPr/>
      </xdr:nvCxnSpPr>
      <xdr:spPr>
        <a:xfrm>
          <a:off x="8557260" y="13459097"/>
          <a:ext cx="740229" cy="764177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566058</xdr:colOff>
      <xdr:row>45</xdr:row>
      <xdr:rowOff>32657</xdr:rowOff>
    </xdr:from>
    <xdr:to>
      <xdr:col>7</xdr:col>
      <xdr:colOff>783772</xdr:colOff>
      <xdr:row>49</xdr:row>
      <xdr:rowOff>87085</xdr:rowOff>
    </xdr:to>
    <xdr:cxnSp macro="">
      <xdr:nvCxnSpPr>
        <xdr:cNvPr id="52" name="Conector recto de flecha 51">
          <a:extLst>
            <a:ext uri="{FF2B5EF4-FFF2-40B4-BE49-F238E27FC236}">
              <a16:creationId xmlns:a16="http://schemas.microsoft.com/office/drawing/2014/main" id="{9820BF51-5145-4134-9E34-B78173D359C4}"/>
            </a:ext>
          </a:extLst>
        </xdr:cNvPr>
        <xdr:cNvCxnSpPr/>
      </xdr:nvCxnSpPr>
      <xdr:spPr>
        <a:xfrm flipH="1">
          <a:off x="10052958" y="13459097"/>
          <a:ext cx="217714" cy="78594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1625237</xdr:colOff>
      <xdr:row>52</xdr:row>
      <xdr:rowOff>152400</xdr:rowOff>
    </xdr:from>
    <xdr:to>
      <xdr:col>7</xdr:col>
      <xdr:colOff>0</xdr:colOff>
      <xdr:row>55</xdr:row>
      <xdr:rowOff>108858</xdr:rowOff>
    </xdr:to>
    <xdr:cxnSp macro="">
      <xdr:nvCxnSpPr>
        <xdr:cNvPr id="53" name="Conector recto de flecha 52">
          <a:extLst>
            <a:ext uri="{FF2B5EF4-FFF2-40B4-BE49-F238E27FC236}">
              <a16:creationId xmlns:a16="http://schemas.microsoft.com/office/drawing/2014/main" id="{CA3CC058-C518-4288-B253-BF4E5E80D8D9}"/>
            </a:ext>
          </a:extLst>
        </xdr:cNvPr>
        <xdr:cNvCxnSpPr>
          <a:stCxn id="15" idx="2"/>
        </xdr:cNvCxnSpPr>
      </xdr:nvCxnSpPr>
      <xdr:spPr>
        <a:xfrm>
          <a:off x="9489077" y="14859000"/>
          <a:ext cx="0" cy="50509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576943</xdr:colOff>
      <xdr:row>52</xdr:row>
      <xdr:rowOff>119743</xdr:rowOff>
    </xdr:from>
    <xdr:to>
      <xdr:col>6</xdr:col>
      <xdr:colOff>1099457</xdr:colOff>
      <xdr:row>55</xdr:row>
      <xdr:rowOff>108858</xdr:rowOff>
    </xdr:to>
    <xdr:cxnSp macro="">
      <xdr:nvCxnSpPr>
        <xdr:cNvPr id="54" name="Conector recto de flecha 53">
          <a:extLst>
            <a:ext uri="{FF2B5EF4-FFF2-40B4-BE49-F238E27FC236}">
              <a16:creationId xmlns:a16="http://schemas.microsoft.com/office/drawing/2014/main" id="{E9D04CF4-6347-43C8-AD22-ACCE1CBB2F94}"/>
            </a:ext>
          </a:extLst>
        </xdr:cNvPr>
        <xdr:cNvCxnSpPr/>
      </xdr:nvCxnSpPr>
      <xdr:spPr>
        <a:xfrm flipH="1">
          <a:off x="8524603" y="14826343"/>
          <a:ext cx="522514" cy="53775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772886</xdr:colOff>
      <xdr:row>52</xdr:row>
      <xdr:rowOff>97971</xdr:rowOff>
    </xdr:from>
    <xdr:to>
      <xdr:col>6</xdr:col>
      <xdr:colOff>772886</xdr:colOff>
      <xdr:row>55</xdr:row>
      <xdr:rowOff>141515</xdr:rowOff>
    </xdr:to>
    <xdr:cxnSp macro="">
      <xdr:nvCxnSpPr>
        <xdr:cNvPr id="55" name="Conector recto de flecha 54">
          <a:extLst>
            <a:ext uri="{FF2B5EF4-FFF2-40B4-BE49-F238E27FC236}">
              <a16:creationId xmlns:a16="http://schemas.microsoft.com/office/drawing/2014/main" id="{38B93C07-C86B-45C0-AA97-2A97180BECD8}"/>
            </a:ext>
          </a:extLst>
        </xdr:cNvPr>
        <xdr:cNvCxnSpPr/>
      </xdr:nvCxnSpPr>
      <xdr:spPr>
        <a:xfrm flipH="1">
          <a:off x="7623266" y="14804571"/>
          <a:ext cx="1097280" cy="592184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609600</xdr:colOff>
      <xdr:row>52</xdr:row>
      <xdr:rowOff>141514</xdr:rowOff>
    </xdr:from>
    <xdr:to>
      <xdr:col>8</xdr:col>
      <xdr:colOff>239485</xdr:colOff>
      <xdr:row>55</xdr:row>
      <xdr:rowOff>130629</xdr:rowOff>
    </xdr:to>
    <xdr:cxnSp macro="">
      <xdr:nvCxnSpPr>
        <xdr:cNvPr id="56" name="Conector recto de flecha 55">
          <a:extLst>
            <a:ext uri="{FF2B5EF4-FFF2-40B4-BE49-F238E27FC236}">
              <a16:creationId xmlns:a16="http://schemas.microsoft.com/office/drawing/2014/main" id="{7C0ED5E4-DF02-40C7-8403-71838D2262F4}"/>
            </a:ext>
          </a:extLst>
        </xdr:cNvPr>
        <xdr:cNvCxnSpPr/>
      </xdr:nvCxnSpPr>
      <xdr:spPr>
        <a:xfrm>
          <a:off x="10096500" y="14848114"/>
          <a:ext cx="689065" cy="53775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32657</xdr:colOff>
      <xdr:row>52</xdr:row>
      <xdr:rowOff>10886</xdr:rowOff>
    </xdr:from>
    <xdr:to>
      <xdr:col>9</xdr:col>
      <xdr:colOff>544286</xdr:colOff>
      <xdr:row>55</xdr:row>
      <xdr:rowOff>152400</xdr:rowOff>
    </xdr:to>
    <xdr:cxnSp macro="">
      <xdr:nvCxnSpPr>
        <xdr:cNvPr id="57" name="Conector recto de flecha 56">
          <a:extLst>
            <a:ext uri="{FF2B5EF4-FFF2-40B4-BE49-F238E27FC236}">
              <a16:creationId xmlns:a16="http://schemas.microsoft.com/office/drawing/2014/main" id="{80170001-217E-40B1-99B6-0B197C7BC020}"/>
            </a:ext>
          </a:extLst>
        </xdr:cNvPr>
        <xdr:cNvCxnSpPr/>
      </xdr:nvCxnSpPr>
      <xdr:spPr>
        <a:xfrm>
          <a:off x="10578737" y="14717486"/>
          <a:ext cx="2180409" cy="690154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65314</xdr:colOff>
      <xdr:row>50</xdr:row>
      <xdr:rowOff>108857</xdr:rowOff>
    </xdr:from>
    <xdr:to>
      <xdr:col>11</xdr:col>
      <xdr:colOff>54428</xdr:colOff>
      <xdr:row>55</xdr:row>
      <xdr:rowOff>152400</xdr:rowOff>
    </xdr:to>
    <xdr:cxnSp macro="">
      <xdr:nvCxnSpPr>
        <xdr:cNvPr id="58" name="Conector recto de flecha 57">
          <a:extLst>
            <a:ext uri="{FF2B5EF4-FFF2-40B4-BE49-F238E27FC236}">
              <a16:creationId xmlns:a16="http://schemas.microsoft.com/office/drawing/2014/main" id="{17AF3218-B1F2-4EC6-AAE5-912273FC2A50}"/>
            </a:ext>
          </a:extLst>
        </xdr:cNvPr>
        <xdr:cNvCxnSpPr/>
      </xdr:nvCxnSpPr>
      <xdr:spPr>
        <a:xfrm>
          <a:off x="10611394" y="14449697"/>
          <a:ext cx="3821974" cy="957943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1752600</xdr:colOff>
      <xdr:row>51</xdr:row>
      <xdr:rowOff>174171</xdr:rowOff>
    </xdr:from>
    <xdr:to>
      <xdr:col>6</xdr:col>
      <xdr:colOff>794657</xdr:colOff>
      <xdr:row>55</xdr:row>
      <xdr:rowOff>97972</xdr:rowOff>
    </xdr:to>
    <xdr:cxnSp macro="">
      <xdr:nvCxnSpPr>
        <xdr:cNvPr id="59" name="Conector recto de flecha 58">
          <a:extLst>
            <a:ext uri="{FF2B5EF4-FFF2-40B4-BE49-F238E27FC236}">
              <a16:creationId xmlns:a16="http://schemas.microsoft.com/office/drawing/2014/main" id="{077BA046-5844-451C-97F2-F5D97A0F40E4}"/>
            </a:ext>
          </a:extLst>
        </xdr:cNvPr>
        <xdr:cNvCxnSpPr/>
      </xdr:nvCxnSpPr>
      <xdr:spPr>
        <a:xfrm flipH="1">
          <a:off x="6850380" y="14697891"/>
          <a:ext cx="1891937" cy="655321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1607245</xdr:colOff>
      <xdr:row>52</xdr:row>
      <xdr:rowOff>32657</xdr:rowOff>
    </xdr:from>
    <xdr:to>
      <xdr:col>6</xdr:col>
      <xdr:colOff>816429</xdr:colOff>
      <xdr:row>56</xdr:row>
      <xdr:rowOff>10886</xdr:rowOff>
    </xdr:to>
    <xdr:cxnSp macro="">
      <xdr:nvCxnSpPr>
        <xdr:cNvPr id="60" name="Conector recto de flecha 59">
          <a:extLst>
            <a:ext uri="{FF2B5EF4-FFF2-40B4-BE49-F238E27FC236}">
              <a16:creationId xmlns:a16="http://schemas.microsoft.com/office/drawing/2014/main" id="{0B560A97-DE8B-4660-9457-D2E115C6917F}"/>
            </a:ext>
          </a:extLst>
        </xdr:cNvPr>
        <xdr:cNvCxnSpPr>
          <a:endCxn id="29" idx="0"/>
        </xdr:cNvCxnSpPr>
      </xdr:nvCxnSpPr>
      <xdr:spPr>
        <a:xfrm flipH="1">
          <a:off x="4868605" y="14739257"/>
          <a:ext cx="3895484" cy="709749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32657</xdr:colOff>
      <xdr:row>50</xdr:row>
      <xdr:rowOff>54428</xdr:rowOff>
    </xdr:from>
    <xdr:to>
      <xdr:col>13</xdr:col>
      <xdr:colOff>348344</xdr:colOff>
      <xdr:row>55</xdr:row>
      <xdr:rowOff>152400</xdr:rowOff>
    </xdr:to>
    <xdr:cxnSp macro="">
      <xdr:nvCxnSpPr>
        <xdr:cNvPr id="61" name="Conector recto de flecha 60">
          <a:extLst>
            <a:ext uri="{FF2B5EF4-FFF2-40B4-BE49-F238E27FC236}">
              <a16:creationId xmlns:a16="http://schemas.microsoft.com/office/drawing/2014/main" id="{C1E0BBED-408F-4332-BF6A-0BE8045EA07A}"/>
            </a:ext>
          </a:extLst>
        </xdr:cNvPr>
        <xdr:cNvCxnSpPr>
          <a:endCxn id="43" idx="0"/>
        </xdr:cNvCxnSpPr>
      </xdr:nvCxnSpPr>
      <xdr:spPr>
        <a:xfrm>
          <a:off x="10578737" y="14395268"/>
          <a:ext cx="6160227" cy="1012372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272143</xdr:colOff>
      <xdr:row>61</xdr:row>
      <xdr:rowOff>174172</xdr:rowOff>
    </xdr:from>
    <xdr:to>
      <xdr:col>13</xdr:col>
      <xdr:colOff>359229</xdr:colOff>
      <xdr:row>62</xdr:row>
      <xdr:rowOff>10886</xdr:rowOff>
    </xdr:to>
    <xdr:cxnSp macro="">
      <xdr:nvCxnSpPr>
        <xdr:cNvPr id="62" name="Conector recto 61">
          <a:extLst>
            <a:ext uri="{FF2B5EF4-FFF2-40B4-BE49-F238E27FC236}">
              <a16:creationId xmlns:a16="http://schemas.microsoft.com/office/drawing/2014/main" id="{ABB13489-A93C-42B7-BEF8-F1EE9666E04F}"/>
            </a:ext>
          </a:extLst>
        </xdr:cNvPr>
        <xdr:cNvCxnSpPr/>
      </xdr:nvCxnSpPr>
      <xdr:spPr>
        <a:xfrm flipV="1">
          <a:off x="5621383" y="16526692"/>
          <a:ext cx="11128466" cy="19594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1607245</xdr:colOff>
      <xdr:row>58</xdr:row>
      <xdr:rowOff>141515</xdr:rowOff>
    </xdr:from>
    <xdr:to>
      <xdr:col>4</xdr:col>
      <xdr:colOff>283029</xdr:colOff>
      <xdr:row>62</xdr:row>
      <xdr:rowOff>21772</xdr:rowOff>
    </xdr:to>
    <xdr:cxnSp macro="">
      <xdr:nvCxnSpPr>
        <xdr:cNvPr id="63" name="Conector recto 62">
          <a:extLst>
            <a:ext uri="{FF2B5EF4-FFF2-40B4-BE49-F238E27FC236}">
              <a16:creationId xmlns:a16="http://schemas.microsoft.com/office/drawing/2014/main" id="{0634FECD-57CA-4933-A48B-9EA4DC71D3D9}"/>
            </a:ext>
          </a:extLst>
        </xdr:cNvPr>
        <xdr:cNvCxnSpPr>
          <a:stCxn id="29" idx="2"/>
        </xdr:cNvCxnSpPr>
      </xdr:nvCxnSpPr>
      <xdr:spPr>
        <a:xfrm>
          <a:off x="4868605" y="15945395"/>
          <a:ext cx="763664" cy="611777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839674</xdr:colOff>
      <xdr:row>59</xdr:row>
      <xdr:rowOff>0</xdr:rowOff>
    </xdr:from>
    <xdr:to>
      <xdr:col>4</xdr:col>
      <xdr:colOff>1360715</xdr:colOff>
      <xdr:row>62</xdr:row>
      <xdr:rowOff>21772</xdr:rowOff>
    </xdr:to>
    <xdr:cxnSp macro="">
      <xdr:nvCxnSpPr>
        <xdr:cNvPr id="64" name="Conector recto 63">
          <a:extLst>
            <a:ext uri="{FF2B5EF4-FFF2-40B4-BE49-F238E27FC236}">
              <a16:creationId xmlns:a16="http://schemas.microsoft.com/office/drawing/2014/main" id="{8594A113-2209-4EA2-9DB9-9DEC838C5FE3}"/>
            </a:ext>
          </a:extLst>
        </xdr:cNvPr>
        <xdr:cNvCxnSpPr>
          <a:stCxn id="28" idx="2"/>
        </xdr:cNvCxnSpPr>
      </xdr:nvCxnSpPr>
      <xdr:spPr>
        <a:xfrm>
          <a:off x="6188914" y="15986760"/>
          <a:ext cx="521041" cy="570412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136072</xdr:colOff>
      <xdr:row>59</xdr:row>
      <xdr:rowOff>2</xdr:rowOff>
    </xdr:from>
    <xdr:to>
      <xdr:col>5</xdr:col>
      <xdr:colOff>152400</xdr:colOff>
      <xdr:row>62</xdr:row>
      <xdr:rowOff>10886</xdr:rowOff>
    </xdr:to>
    <xdr:cxnSp macro="">
      <xdr:nvCxnSpPr>
        <xdr:cNvPr id="65" name="Conector recto 64">
          <a:extLst>
            <a:ext uri="{FF2B5EF4-FFF2-40B4-BE49-F238E27FC236}">
              <a16:creationId xmlns:a16="http://schemas.microsoft.com/office/drawing/2014/main" id="{0B75D235-FD15-4CC7-A6A8-D357B0C47022}"/>
            </a:ext>
          </a:extLst>
        </xdr:cNvPr>
        <xdr:cNvCxnSpPr>
          <a:stCxn id="30" idx="2"/>
        </xdr:cNvCxnSpPr>
      </xdr:nvCxnSpPr>
      <xdr:spPr>
        <a:xfrm>
          <a:off x="6986452" y="15986762"/>
          <a:ext cx="16328" cy="559524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255495</xdr:colOff>
      <xdr:row>58</xdr:row>
      <xdr:rowOff>174171</xdr:rowOff>
    </xdr:from>
    <xdr:to>
      <xdr:col>6</xdr:col>
      <xdr:colOff>293915</xdr:colOff>
      <xdr:row>62</xdr:row>
      <xdr:rowOff>21772</xdr:rowOff>
    </xdr:to>
    <xdr:cxnSp macro="">
      <xdr:nvCxnSpPr>
        <xdr:cNvPr id="66" name="Conector recto 65">
          <a:extLst>
            <a:ext uri="{FF2B5EF4-FFF2-40B4-BE49-F238E27FC236}">
              <a16:creationId xmlns:a16="http://schemas.microsoft.com/office/drawing/2014/main" id="{11294513-8C8C-41C7-A820-B77EF89E8513}"/>
            </a:ext>
          </a:extLst>
        </xdr:cNvPr>
        <xdr:cNvCxnSpPr>
          <a:stCxn id="31" idx="2"/>
        </xdr:cNvCxnSpPr>
      </xdr:nvCxnSpPr>
      <xdr:spPr>
        <a:xfrm>
          <a:off x="8203155" y="15978051"/>
          <a:ext cx="38420" cy="579121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1469572</xdr:colOff>
      <xdr:row>58</xdr:row>
      <xdr:rowOff>163286</xdr:rowOff>
    </xdr:from>
    <xdr:to>
      <xdr:col>6</xdr:col>
      <xdr:colOff>1480457</xdr:colOff>
      <xdr:row>61</xdr:row>
      <xdr:rowOff>174172</xdr:rowOff>
    </xdr:to>
    <xdr:cxnSp macro="">
      <xdr:nvCxnSpPr>
        <xdr:cNvPr id="67" name="Conector recto 66">
          <a:extLst>
            <a:ext uri="{FF2B5EF4-FFF2-40B4-BE49-F238E27FC236}">
              <a16:creationId xmlns:a16="http://schemas.microsoft.com/office/drawing/2014/main" id="{7C5B369A-49DB-41F6-8E59-8222F6B1F147}"/>
            </a:ext>
          </a:extLst>
        </xdr:cNvPr>
        <xdr:cNvCxnSpPr>
          <a:stCxn id="32" idx="2"/>
        </xdr:cNvCxnSpPr>
      </xdr:nvCxnSpPr>
      <xdr:spPr>
        <a:xfrm>
          <a:off x="9417232" y="15967166"/>
          <a:ext cx="10885" cy="559526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555171</xdr:colOff>
      <xdr:row>59</xdr:row>
      <xdr:rowOff>1</xdr:rowOff>
    </xdr:from>
    <xdr:to>
      <xdr:col>8</xdr:col>
      <xdr:colOff>560615</xdr:colOff>
      <xdr:row>61</xdr:row>
      <xdr:rowOff>174172</xdr:rowOff>
    </xdr:to>
    <xdr:cxnSp macro="">
      <xdr:nvCxnSpPr>
        <xdr:cNvPr id="68" name="Conector recto 67">
          <a:extLst>
            <a:ext uri="{FF2B5EF4-FFF2-40B4-BE49-F238E27FC236}">
              <a16:creationId xmlns:a16="http://schemas.microsoft.com/office/drawing/2014/main" id="{A3268BD7-CF05-4865-97C6-63FDBE490112}"/>
            </a:ext>
          </a:extLst>
        </xdr:cNvPr>
        <xdr:cNvCxnSpPr>
          <a:stCxn id="38" idx="2"/>
        </xdr:cNvCxnSpPr>
      </xdr:nvCxnSpPr>
      <xdr:spPr>
        <a:xfrm flipH="1">
          <a:off x="11101251" y="15986761"/>
          <a:ext cx="5444" cy="539931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522514</xdr:colOff>
      <xdr:row>59</xdr:row>
      <xdr:rowOff>0</xdr:rowOff>
    </xdr:from>
    <xdr:to>
      <xdr:col>10</xdr:col>
      <xdr:colOff>533400</xdr:colOff>
      <xdr:row>62</xdr:row>
      <xdr:rowOff>32658</xdr:rowOff>
    </xdr:to>
    <xdr:cxnSp macro="">
      <xdr:nvCxnSpPr>
        <xdr:cNvPr id="69" name="Conector recto 68">
          <a:extLst>
            <a:ext uri="{FF2B5EF4-FFF2-40B4-BE49-F238E27FC236}">
              <a16:creationId xmlns:a16="http://schemas.microsoft.com/office/drawing/2014/main" id="{7382DEA1-A787-4606-937C-D0134CEE7954}"/>
            </a:ext>
          </a:extLst>
        </xdr:cNvPr>
        <xdr:cNvCxnSpPr>
          <a:stCxn id="39" idx="2"/>
        </xdr:cNvCxnSpPr>
      </xdr:nvCxnSpPr>
      <xdr:spPr>
        <a:xfrm>
          <a:off x="14040394" y="15986760"/>
          <a:ext cx="10886" cy="581298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533400</xdr:colOff>
      <xdr:row>59</xdr:row>
      <xdr:rowOff>10886</xdr:rowOff>
    </xdr:from>
    <xdr:to>
      <xdr:col>11</xdr:col>
      <xdr:colOff>533400</xdr:colOff>
      <xdr:row>62</xdr:row>
      <xdr:rowOff>10886</xdr:rowOff>
    </xdr:to>
    <xdr:cxnSp macro="">
      <xdr:nvCxnSpPr>
        <xdr:cNvPr id="70" name="Conector recto 69">
          <a:extLst>
            <a:ext uri="{FF2B5EF4-FFF2-40B4-BE49-F238E27FC236}">
              <a16:creationId xmlns:a16="http://schemas.microsoft.com/office/drawing/2014/main" id="{44A96F0C-B69A-40CD-B07C-97BAFDE77ABE}"/>
            </a:ext>
          </a:extLst>
        </xdr:cNvPr>
        <xdr:cNvCxnSpPr>
          <a:stCxn id="40" idx="2"/>
        </xdr:cNvCxnSpPr>
      </xdr:nvCxnSpPr>
      <xdr:spPr>
        <a:xfrm>
          <a:off x="14912340" y="15997646"/>
          <a:ext cx="0" cy="54864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348344</xdr:colOff>
      <xdr:row>59</xdr:row>
      <xdr:rowOff>10886</xdr:rowOff>
    </xdr:from>
    <xdr:to>
      <xdr:col>13</xdr:col>
      <xdr:colOff>370114</xdr:colOff>
      <xdr:row>62</xdr:row>
      <xdr:rowOff>10886</xdr:rowOff>
    </xdr:to>
    <xdr:cxnSp macro="">
      <xdr:nvCxnSpPr>
        <xdr:cNvPr id="71" name="Conector recto 70">
          <a:extLst>
            <a:ext uri="{FF2B5EF4-FFF2-40B4-BE49-F238E27FC236}">
              <a16:creationId xmlns:a16="http://schemas.microsoft.com/office/drawing/2014/main" id="{632910CC-C8EA-4B9A-99F5-DC53B53C0BD8}"/>
            </a:ext>
          </a:extLst>
        </xdr:cNvPr>
        <xdr:cNvCxnSpPr>
          <a:stCxn id="43" idx="2"/>
        </xdr:cNvCxnSpPr>
      </xdr:nvCxnSpPr>
      <xdr:spPr>
        <a:xfrm>
          <a:off x="16738964" y="15997646"/>
          <a:ext cx="21770" cy="54864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2373086</xdr:colOff>
      <xdr:row>62</xdr:row>
      <xdr:rowOff>10886</xdr:rowOff>
    </xdr:from>
    <xdr:to>
      <xdr:col>4</xdr:col>
      <xdr:colOff>2394857</xdr:colOff>
      <xdr:row>64</xdr:row>
      <xdr:rowOff>119743</xdr:rowOff>
    </xdr:to>
    <xdr:cxnSp macro="">
      <xdr:nvCxnSpPr>
        <xdr:cNvPr id="72" name="Conector recto 71">
          <a:extLst>
            <a:ext uri="{FF2B5EF4-FFF2-40B4-BE49-F238E27FC236}">
              <a16:creationId xmlns:a16="http://schemas.microsoft.com/office/drawing/2014/main" id="{9640B6A4-6AAE-48D5-B45D-304B89C2E6FF}"/>
            </a:ext>
          </a:extLst>
        </xdr:cNvPr>
        <xdr:cNvCxnSpPr/>
      </xdr:nvCxnSpPr>
      <xdr:spPr>
        <a:xfrm flipH="1">
          <a:off x="6853646" y="16546286"/>
          <a:ext cx="0" cy="474617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968829</xdr:colOff>
      <xdr:row>62</xdr:row>
      <xdr:rowOff>0</xdr:rowOff>
    </xdr:from>
    <xdr:to>
      <xdr:col>6</xdr:col>
      <xdr:colOff>968829</xdr:colOff>
      <xdr:row>64</xdr:row>
      <xdr:rowOff>54428</xdr:rowOff>
    </xdr:to>
    <xdr:cxnSp macro="">
      <xdr:nvCxnSpPr>
        <xdr:cNvPr id="73" name="Conector recto 72">
          <a:extLst>
            <a:ext uri="{FF2B5EF4-FFF2-40B4-BE49-F238E27FC236}">
              <a16:creationId xmlns:a16="http://schemas.microsoft.com/office/drawing/2014/main" id="{66409CB5-9A22-4E7C-9B80-9CBF88DFC168}"/>
            </a:ext>
          </a:extLst>
        </xdr:cNvPr>
        <xdr:cNvCxnSpPr/>
      </xdr:nvCxnSpPr>
      <xdr:spPr>
        <a:xfrm>
          <a:off x="8916489" y="16535400"/>
          <a:ext cx="0" cy="420188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947057</xdr:colOff>
      <xdr:row>62</xdr:row>
      <xdr:rowOff>0</xdr:rowOff>
    </xdr:from>
    <xdr:to>
      <xdr:col>9</xdr:col>
      <xdr:colOff>0</xdr:colOff>
      <xdr:row>64</xdr:row>
      <xdr:rowOff>65314</xdr:rowOff>
    </xdr:to>
    <xdr:cxnSp macro="">
      <xdr:nvCxnSpPr>
        <xdr:cNvPr id="74" name="Conector recto 73">
          <a:extLst>
            <a:ext uri="{FF2B5EF4-FFF2-40B4-BE49-F238E27FC236}">
              <a16:creationId xmlns:a16="http://schemas.microsoft.com/office/drawing/2014/main" id="{A8E408E1-4FFF-412A-96FD-92F8C4EC862F}"/>
            </a:ext>
          </a:extLst>
        </xdr:cNvPr>
        <xdr:cNvCxnSpPr/>
      </xdr:nvCxnSpPr>
      <xdr:spPr>
        <a:xfrm>
          <a:off x="11493137" y="16535400"/>
          <a:ext cx="721723" cy="431074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89</xdr:row>
      <xdr:rowOff>30479</xdr:rowOff>
    </xdr:from>
    <xdr:to>
      <xdr:col>15</xdr:col>
      <xdr:colOff>1584960</xdr:colOff>
      <xdr:row>114</xdr:row>
      <xdr:rowOff>152400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5CA698A6-4970-4DE8-9F5A-E3FC63196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243840</xdr:colOff>
      <xdr:row>55</xdr:row>
      <xdr:rowOff>152400</xdr:rowOff>
    </xdr:from>
    <xdr:to>
      <xdr:col>2</xdr:col>
      <xdr:colOff>259080</xdr:colOff>
      <xdr:row>59</xdr:row>
      <xdr:rowOff>121920</xdr:rowOff>
    </xdr:to>
    <xdr:sp macro="" textlink="">
      <xdr:nvSpPr>
        <xdr:cNvPr id="76" name="Rectángulo: esquinas redondeadas 75">
          <a:extLst>
            <a:ext uri="{FF2B5EF4-FFF2-40B4-BE49-F238E27FC236}">
              <a16:creationId xmlns:a16="http://schemas.microsoft.com/office/drawing/2014/main" id="{F43B0853-293D-431D-937F-72E49E0C4AFA}"/>
            </a:ext>
          </a:extLst>
        </xdr:cNvPr>
        <xdr:cNvSpPr/>
      </xdr:nvSpPr>
      <xdr:spPr>
        <a:xfrm>
          <a:off x="243840" y="15407640"/>
          <a:ext cx="2164080" cy="701040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2</xdr:col>
      <xdr:colOff>426720</xdr:colOff>
      <xdr:row>55</xdr:row>
      <xdr:rowOff>152400</xdr:rowOff>
    </xdr:from>
    <xdr:to>
      <xdr:col>3</xdr:col>
      <xdr:colOff>731520</xdr:colOff>
      <xdr:row>60</xdr:row>
      <xdr:rowOff>15240</xdr:rowOff>
    </xdr:to>
    <xdr:sp macro="" textlink="">
      <xdr:nvSpPr>
        <xdr:cNvPr id="77" name="Rectángulo: esquinas redondeadas 76">
          <a:extLst>
            <a:ext uri="{FF2B5EF4-FFF2-40B4-BE49-F238E27FC236}">
              <a16:creationId xmlns:a16="http://schemas.microsoft.com/office/drawing/2014/main" id="{2F5E137B-8142-4069-9E73-3E4CC2893369}"/>
            </a:ext>
          </a:extLst>
        </xdr:cNvPr>
        <xdr:cNvSpPr/>
      </xdr:nvSpPr>
      <xdr:spPr>
        <a:xfrm>
          <a:off x="2575560" y="15407640"/>
          <a:ext cx="1417320" cy="777240"/>
        </a:xfrm>
        <a:prstGeom prst="roundRect">
          <a:avLst/>
        </a:prstGeom>
        <a:noFill/>
        <a:ln w="19050" cap="flat" cmpd="sng" algn="ctr">
          <a:solidFill>
            <a:srgbClr val="156082">
              <a:shade val="15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CO" sz="1100" b="0" i="0" u="none" strike="noStrike" kern="120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ptos Narrow" panose="0211000402020202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502920</xdr:colOff>
      <xdr:row>56</xdr:row>
      <xdr:rowOff>60960</xdr:rowOff>
    </xdr:from>
    <xdr:to>
      <xdr:col>2</xdr:col>
      <xdr:colOff>45720</xdr:colOff>
      <xdr:row>59</xdr:row>
      <xdr:rowOff>0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297AF22C-ED1E-4F65-972D-D3981C6C7FDE}"/>
            </a:ext>
          </a:extLst>
        </xdr:cNvPr>
        <xdr:cNvSpPr txBox="1"/>
      </xdr:nvSpPr>
      <xdr:spPr>
        <a:xfrm>
          <a:off x="502920" y="15499080"/>
          <a:ext cx="1691640" cy="4876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kern="1200"/>
            <a:t>Clasificación de costos y gastos</a:t>
          </a:r>
        </a:p>
      </xdr:txBody>
    </xdr:sp>
    <xdr:clientData/>
  </xdr:twoCellAnchor>
  <xdr:twoCellAnchor>
    <xdr:from>
      <xdr:col>2</xdr:col>
      <xdr:colOff>548640</xdr:colOff>
      <xdr:row>56</xdr:row>
      <xdr:rowOff>60960</xdr:rowOff>
    </xdr:from>
    <xdr:to>
      <xdr:col>3</xdr:col>
      <xdr:colOff>701040</xdr:colOff>
      <xdr:row>59</xdr:row>
      <xdr:rowOff>30480</xdr:rowOff>
    </xdr:to>
    <xdr:sp macro="" textlink="">
      <xdr:nvSpPr>
        <xdr:cNvPr id="79" name="CuadroTexto 78">
          <a:extLst>
            <a:ext uri="{FF2B5EF4-FFF2-40B4-BE49-F238E27FC236}">
              <a16:creationId xmlns:a16="http://schemas.microsoft.com/office/drawing/2014/main" id="{DE21F47D-EDAC-40E0-9461-E5682D811764}"/>
            </a:ext>
          </a:extLst>
        </xdr:cNvPr>
        <xdr:cNvSpPr txBox="1"/>
      </xdr:nvSpPr>
      <xdr:spPr>
        <a:xfrm>
          <a:off x="2697480" y="15499080"/>
          <a:ext cx="1264920" cy="518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kern="1200"/>
            <a:t>Pago a proveedores</a:t>
          </a:r>
        </a:p>
      </xdr:txBody>
    </xdr:sp>
    <xdr:clientData/>
  </xdr:twoCellAnchor>
  <xdr:twoCellAnchor>
    <xdr:from>
      <xdr:col>1</xdr:col>
      <xdr:colOff>365760</xdr:colOff>
      <xdr:row>51</xdr:row>
      <xdr:rowOff>85997</xdr:rowOff>
    </xdr:from>
    <xdr:to>
      <xdr:col>5</xdr:col>
      <xdr:colOff>2946</xdr:colOff>
      <xdr:row>55</xdr:row>
      <xdr:rowOff>45720</xdr:rowOff>
    </xdr:to>
    <xdr:cxnSp macro="">
      <xdr:nvCxnSpPr>
        <xdr:cNvPr id="80" name="Conector recto de flecha 79">
          <a:extLst>
            <a:ext uri="{FF2B5EF4-FFF2-40B4-BE49-F238E27FC236}">
              <a16:creationId xmlns:a16="http://schemas.microsoft.com/office/drawing/2014/main" id="{F372EE51-F03D-4179-87DB-AC0B86C63494}"/>
            </a:ext>
          </a:extLst>
        </xdr:cNvPr>
        <xdr:cNvCxnSpPr>
          <a:stCxn id="14" idx="1"/>
        </xdr:cNvCxnSpPr>
      </xdr:nvCxnSpPr>
      <xdr:spPr>
        <a:xfrm flipH="1">
          <a:off x="1607820" y="14609717"/>
          <a:ext cx="5245506" cy="691243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685800</xdr:colOff>
      <xdr:row>52</xdr:row>
      <xdr:rowOff>152400</xdr:rowOff>
    </xdr:from>
    <xdr:to>
      <xdr:col>4</xdr:col>
      <xdr:colOff>2087880</xdr:colOff>
      <xdr:row>55</xdr:row>
      <xdr:rowOff>121920</xdr:rowOff>
    </xdr:to>
    <xdr:cxnSp macro="">
      <xdr:nvCxnSpPr>
        <xdr:cNvPr id="81" name="Conector recto de flecha 80">
          <a:extLst>
            <a:ext uri="{FF2B5EF4-FFF2-40B4-BE49-F238E27FC236}">
              <a16:creationId xmlns:a16="http://schemas.microsoft.com/office/drawing/2014/main" id="{B233351C-97FD-492B-8A79-F9584A72CDFB}"/>
            </a:ext>
          </a:extLst>
        </xdr:cNvPr>
        <xdr:cNvCxnSpPr/>
      </xdr:nvCxnSpPr>
      <xdr:spPr>
        <a:xfrm flipH="1">
          <a:off x="3947160" y="14859000"/>
          <a:ext cx="2903220" cy="51816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624840</xdr:colOff>
      <xdr:row>56</xdr:row>
      <xdr:rowOff>30480</xdr:rowOff>
    </xdr:from>
    <xdr:to>
      <xdr:col>16</xdr:col>
      <xdr:colOff>579120</xdr:colOff>
      <xdr:row>58</xdr:row>
      <xdr:rowOff>152400</xdr:rowOff>
    </xdr:to>
    <xdr:sp macro="" textlink="">
      <xdr:nvSpPr>
        <xdr:cNvPr id="82" name="Rectángulo: esquinas redondeadas 81">
          <a:extLst>
            <a:ext uri="{FF2B5EF4-FFF2-40B4-BE49-F238E27FC236}">
              <a16:creationId xmlns:a16="http://schemas.microsoft.com/office/drawing/2014/main" id="{ADD34ECE-745F-4432-9476-A8F6D75C21DE}"/>
            </a:ext>
          </a:extLst>
        </xdr:cNvPr>
        <xdr:cNvSpPr/>
      </xdr:nvSpPr>
      <xdr:spPr>
        <a:xfrm>
          <a:off x="18188940" y="15468600"/>
          <a:ext cx="3185160" cy="487680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15</xdr:col>
      <xdr:colOff>60960</xdr:colOff>
      <xdr:row>56</xdr:row>
      <xdr:rowOff>76200</xdr:rowOff>
    </xdr:from>
    <xdr:to>
      <xdr:col>16</xdr:col>
      <xdr:colOff>350520</xdr:colOff>
      <xdr:row>58</xdr:row>
      <xdr:rowOff>60960</xdr:rowOff>
    </xdr:to>
    <xdr:sp macro="" textlink="">
      <xdr:nvSpPr>
        <xdr:cNvPr id="83" name="CuadroTexto 82">
          <a:extLst>
            <a:ext uri="{FF2B5EF4-FFF2-40B4-BE49-F238E27FC236}">
              <a16:creationId xmlns:a16="http://schemas.microsoft.com/office/drawing/2014/main" id="{D8A559BF-10A2-4E62-A588-4705C487D306}"/>
            </a:ext>
          </a:extLst>
        </xdr:cNvPr>
        <xdr:cNvSpPr txBox="1"/>
      </xdr:nvSpPr>
      <xdr:spPr>
        <a:xfrm>
          <a:off x="19164300" y="15514320"/>
          <a:ext cx="1981200" cy="3505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kern="1200"/>
            <a:t>Distribución</a:t>
          </a:r>
        </a:p>
      </xdr:txBody>
    </xdr:sp>
    <xdr:clientData/>
  </xdr:twoCellAnchor>
  <xdr:twoCellAnchor>
    <xdr:from>
      <xdr:col>11</xdr:col>
      <xdr:colOff>833437</xdr:colOff>
      <xdr:row>50</xdr:row>
      <xdr:rowOff>108859</xdr:rowOff>
    </xdr:from>
    <xdr:to>
      <xdr:col>15</xdr:col>
      <xdr:colOff>228600</xdr:colOff>
      <xdr:row>56</xdr:row>
      <xdr:rowOff>30480</xdr:rowOff>
    </xdr:to>
    <xdr:cxnSp macro="">
      <xdr:nvCxnSpPr>
        <xdr:cNvPr id="84" name="Conector recto de flecha 83">
          <a:extLst>
            <a:ext uri="{FF2B5EF4-FFF2-40B4-BE49-F238E27FC236}">
              <a16:creationId xmlns:a16="http://schemas.microsoft.com/office/drawing/2014/main" id="{7B10A7DE-C686-4D79-B6FD-AE41DD5B61A9}"/>
            </a:ext>
          </a:extLst>
        </xdr:cNvPr>
        <xdr:cNvCxnSpPr>
          <a:stCxn id="16" idx="3"/>
        </xdr:cNvCxnSpPr>
      </xdr:nvCxnSpPr>
      <xdr:spPr>
        <a:xfrm>
          <a:off x="12370593" y="15539359"/>
          <a:ext cx="3514726" cy="993184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944880</xdr:colOff>
      <xdr:row>11</xdr:row>
      <xdr:rowOff>381000</xdr:rowOff>
    </xdr:from>
    <xdr:to>
      <xdr:col>10</xdr:col>
      <xdr:colOff>563880</xdr:colOff>
      <xdr:row>12</xdr:row>
      <xdr:rowOff>716280</xdr:rowOff>
    </xdr:to>
    <xdr:sp macro="" textlink="">
      <xdr:nvSpPr>
        <xdr:cNvPr id="85" name="Elipse 84">
          <a:extLst>
            <a:ext uri="{FF2B5EF4-FFF2-40B4-BE49-F238E27FC236}">
              <a16:creationId xmlns:a16="http://schemas.microsoft.com/office/drawing/2014/main" id="{77134C0B-A882-4886-A01B-4FF35C7890C4}"/>
            </a:ext>
          </a:extLst>
        </xdr:cNvPr>
        <xdr:cNvSpPr/>
      </xdr:nvSpPr>
      <xdr:spPr>
        <a:xfrm>
          <a:off x="11490960" y="4183380"/>
          <a:ext cx="2590800" cy="1158240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7</xdr:col>
      <xdr:colOff>695325</xdr:colOff>
      <xdr:row>9</xdr:row>
      <xdr:rowOff>15239</xdr:rowOff>
    </xdr:from>
    <xdr:to>
      <xdr:col>12</xdr:col>
      <xdr:colOff>95250</xdr:colOff>
      <xdr:row>13</xdr:row>
      <xdr:rowOff>409574</xdr:rowOff>
    </xdr:to>
    <xdr:sp macro="" textlink="">
      <xdr:nvSpPr>
        <xdr:cNvPr id="86" name="Elipse 85">
          <a:extLst>
            <a:ext uri="{FF2B5EF4-FFF2-40B4-BE49-F238E27FC236}">
              <a16:creationId xmlns:a16="http://schemas.microsoft.com/office/drawing/2014/main" id="{09512812-3475-4D42-AA5E-7CB2499FF984}"/>
            </a:ext>
          </a:extLst>
        </xdr:cNvPr>
        <xdr:cNvSpPr/>
      </xdr:nvSpPr>
      <xdr:spPr>
        <a:xfrm>
          <a:off x="8410575" y="4349114"/>
          <a:ext cx="3857625" cy="2508885"/>
        </a:xfrm>
        <a:prstGeom prst="ellipse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8</xdr:col>
      <xdr:colOff>771526</xdr:colOff>
      <xdr:row>11</xdr:row>
      <xdr:rowOff>28575</xdr:rowOff>
    </xdr:from>
    <xdr:to>
      <xdr:col>11</xdr:col>
      <xdr:colOff>628651</xdr:colOff>
      <xdr:row>12</xdr:row>
      <xdr:rowOff>866775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C6980EA-4202-459D-8E32-46C5FAC26737}"/>
            </a:ext>
          </a:extLst>
        </xdr:cNvPr>
        <xdr:cNvSpPr txBox="1"/>
      </xdr:nvSpPr>
      <xdr:spPr>
        <a:xfrm>
          <a:off x="9191626" y="4724400"/>
          <a:ext cx="2495550" cy="1657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kern="1200"/>
            <a:t>Auxiliar  contable$1.500.000</a:t>
          </a:r>
        </a:p>
        <a:p>
          <a:r>
            <a:rPr lang="es-CO" sz="1600" kern="1200"/>
            <a:t>Equipo de computo$1.500.000</a:t>
          </a:r>
        </a:p>
        <a:p>
          <a:r>
            <a:rPr lang="es-CO" sz="1600" kern="1200"/>
            <a:t>Arrendamiento $150.000</a:t>
          </a:r>
        </a:p>
        <a:p>
          <a:r>
            <a:rPr lang="es-CO" sz="1600" kern="1200"/>
            <a:t>total $3.150.000</a:t>
          </a:r>
        </a:p>
      </xdr:txBody>
    </xdr:sp>
    <xdr:clientData/>
  </xdr:twoCellAnchor>
  <xdr:twoCellAnchor>
    <xdr:from>
      <xdr:col>8</xdr:col>
      <xdr:colOff>902970</xdr:colOff>
      <xdr:row>7</xdr:row>
      <xdr:rowOff>855345</xdr:rowOff>
    </xdr:from>
    <xdr:to>
      <xdr:col>10</xdr:col>
      <xdr:colOff>657225</xdr:colOff>
      <xdr:row>8</xdr:row>
      <xdr:rowOff>133350</xdr:rowOff>
    </xdr:to>
    <xdr:sp macro="" textlink="">
      <xdr:nvSpPr>
        <xdr:cNvPr id="88" name="CuadroTexto 87">
          <a:extLst>
            <a:ext uri="{FF2B5EF4-FFF2-40B4-BE49-F238E27FC236}">
              <a16:creationId xmlns:a16="http://schemas.microsoft.com/office/drawing/2014/main" id="{C40CDD9D-6BBB-4304-9B42-0222D62AD445}"/>
            </a:ext>
          </a:extLst>
        </xdr:cNvPr>
        <xdr:cNvSpPr txBox="1"/>
      </xdr:nvSpPr>
      <xdr:spPr>
        <a:xfrm>
          <a:off x="9323070" y="3731895"/>
          <a:ext cx="1583055" cy="5543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800" kern="1200">
              <a:solidFill>
                <a:schemeClr val="accent3">
                  <a:lumMod val="60000"/>
                  <a:lumOff val="40000"/>
                </a:schemeClr>
              </a:solidFill>
            </a:rPr>
            <a:t>CONTABLE</a:t>
          </a:r>
        </a:p>
      </xdr:txBody>
    </xdr:sp>
    <xdr:clientData/>
  </xdr:twoCellAnchor>
  <xdr:twoCellAnchor>
    <xdr:from>
      <xdr:col>14</xdr:col>
      <xdr:colOff>521970</xdr:colOff>
      <xdr:row>7</xdr:row>
      <xdr:rowOff>371474</xdr:rowOff>
    </xdr:from>
    <xdr:to>
      <xdr:col>15</xdr:col>
      <xdr:colOff>1219200</xdr:colOff>
      <xdr:row>7</xdr:row>
      <xdr:rowOff>857249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E6A4B8F2-7F83-4F50-AB4C-EDA1E180BACC}"/>
            </a:ext>
          </a:extLst>
        </xdr:cNvPr>
        <xdr:cNvSpPr txBox="1"/>
      </xdr:nvSpPr>
      <xdr:spPr>
        <a:xfrm>
          <a:off x="13828395" y="3248024"/>
          <a:ext cx="1611630" cy="485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800" kern="1200">
              <a:solidFill>
                <a:schemeClr val="accent3">
                  <a:lumMod val="60000"/>
                  <a:lumOff val="40000"/>
                </a:schemeClr>
              </a:solidFill>
            </a:rPr>
            <a:t>PRODUCCIÓN</a:t>
          </a:r>
        </a:p>
      </xdr:txBody>
    </xdr:sp>
    <xdr:clientData/>
  </xdr:twoCellAnchor>
  <xdr:twoCellAnchor>
    <xdr:from>
      <xdr:col>12</xdr:col>
      <xdr:colOff>304800</xdr:colOff>
      <xdr:row>8</xdr:row>
      <xdr:rowOff>15240</xdr:rowOff>
    </xdr:from>
    <xdr:to>
      <xdr:col>17</xdr:col>
      <xdr:colOff>0</xdr:colOff>
      <xdr:row>12</xdr:row>
      <xdr:rowOff>914400</xdr:rowOff>
    </xdr:to>
    <xdr:sp macro="" textlink="">
      <xdr:nvSpPr>
        <xdr:cNvPr id="90" name="Elipse 89">
          <a:extLst>
            <a:ext uri="{FF2B5EF4-FFF2-40B4-BE49-F238E27FC236}">
              <a16:creationId xmlns:a16="http://schemas.microsoft.com/office/drawing/2014/main" id="{DBC08F9D-4A7D-4A3E-AF5C-EE9E157A873B}"/>
            </a:ext>
          </a:extLst>
        </xdr:cNvPr>
        <xdr:cNvSpPr/>
      </xdr:nvSpPr>
      <xdr:spPr>
        <a:xfrm>
          <a:off x="12477750" y="4168140"/>
          <a:ext cx="4867275" cy="2261235"/>
        </a:xfrm>
        <a:prstGeom prst="ellipse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13</xdr:col>
      <xdr:colOff>476250</xdr:colOff>
      <xdr:row>10</xdr:row>
      <xdr:rowOff>142875</xdr:rowOff>
    </xdr:from>
    <xdr:to>
      <xdr:col>16</xdr:col>
      <xdr:colOff>121920</xdr:colOff>
      <xdr:row>12</xdr:row>
      <xdr:rowOff>514350</xdr:rowOff>
    </xdr:to>
    <xdr:sp macro="" textlink="">
      <xdr:nvSpPr>
        <xdr:cNvPr id="91" name="CuadroTexto 90">
          <a:extLst>
            <a:ext uri="{FF2B5EF4-FFF2-40B4-BE49-F238E27FC236}">
              <a16:creationId xmlns:a16="http://schemas.microsoft.com/office/drawing/2014/main" id="{FE025154-B2A6-48D7-8411-59D02CDC7B28}"/>
            </a:ext>
          </a:extLst>
        </xdr:cNvPr>
        <xdr:cNvSpPr txBox="1"/>
      </xdr:nvSpPr>
      <xdr:spPr>
        <a:xfrm>
          <a:off x="13192125" y="4657725"/>
          <a:ext cx="2846070" cy="1371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kern="1200"/>
            <a:t>HORNO$2.000.000</a:t>
          </a:r>
        </a:p>
        <a:p>
          <a:r>
            <a:rPr lang="es-CO" sz="1400" kern="1200"/>
            <a:t>MATERIA PRIMA $2.700.000</a:t>
          </a:r>
        </a:p>
        <a:p>
          <a:r>
            <a:rPr lang="es-CO" sz="1400" kern="1200"/>
            <a:t>PERSONAL</a:t>
          </a:r>
          <a:r>
            <a:rPr lang="es-CO" sz="1400" kern="1200" baseline="0"/>
            <a:t> $1.600.000</a:t>
          </a:r>
        </a:p>
        <a:p>
          <a:r>
            <a:rPr lang="es-CO" sz="1400" kern="1200" baseline="0"/>
            <a:t>ARRENDAMIENTO $250.000</a:t>
          </a:r>
        </a:p>
        <a:p>
          <a:r>
            <a:rPr lang="es-CO" sz="1400" kern="1200" baseline="0"/>
            <a:t>TOTAL $6.550.000</a:t>
          </a:r>
          <a:endParaRPr lang="es-CO" sz="1400" kern="1200"/>
        </a:p>
      </xdr:txBody>
    </xdr:sp>
    <xdr:clientData/>
  </xdr:twoCellAnchor>
  <xdr:twoCellAnchor>
    <xdr:from>
      <xdr:col>17</xdr:col>
      <xdr:colOff>274320</xdr:colOff>
      <xdr:row>8</xdr:row>
      <xdr:rowOff>91440</xdr:rowOff>
    </xdr:from>
    <xdr:to>
      <xdr:col>21</xdr:col>
      <xdr:colOff>594360</xdr:colOff>
      <xdr:row>13</xdr:row>
      <xdr:rowOff>15240</xdr:rowOff>
    </xdr:to>
    <xdr:sp macro="" textlink="">
      <xdr:nvSpPr>
        <xdr:cNvPr id="92" name="Elipse 91">
          <a:extLst>
            <a:ext uri="{FF2B5EF4-FFF2-40B4-BE49-F238E27FC236}">
              <a16:creationId xmlns:a16="http://schemas.microsoft.com/office/drawing/2014/main" id="{B2791181-E319-4EE3-86C6-EB6388FE9C66}"/>
            </a:ext>
          </a:extLst>
        </xdr:cNvPr>
        <xdr:cNvSpPr/>
      </xdr:nvSpPr>
      <xdr:spPr>
        <a:xfrm>
          <a:off x="22501860" y="3345180"/>
          <a:ext cx="3840480" cy="2232660"/>
        </a:xfrm>
        <a:prstGeom prst="ellipse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17</xdr:col>
      <xdr:colOff>904876</xdr:colOff>
      <xdr:row>10</xdr:row>
      <xdr:rowOff>91440</xdr:rowOff>
    </xdr:from>
    <xdr:to>
      <xdr:col>21</xdr:col>
      <xdr:colOff>106681</xdr:colOff>
      <xdr:row>12</xdr:row>
      <xdr:rowOff>495300</xdr:rowOff>
    </xdr:to>
    <xdr:sp macro="" textlink="">
      <xdr:nvSpPr>
        <xdr:cNvPr id="93" name="CuadroTexto 92">
          <a:extLst>
            <a:ext uri="{FF2B5EF4-FFF2-40B4-BE49-F238E27FC236}">
              <a16:creationId xmlns:a16="http://schemas.microsoft.com/office/drawing/2014/main" id="{46A85B02-9CD0-4081-A924-A298BCCE93F8}"/>
            </a:ext>
          </a:extLst>
        </xdr:cNvPr>
        <xdr:cNvSpPr txBox="1"/>
      </xdr:nvSpPr>
      <xdr:spPr>
        <a:xfrm>
          <a:off x="18249901" y="4606290"/>
          <a:ext cx="2716530" cy="14039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kern="1200"/>
            <a:t>DOMICILIARIO $500.000</a:t>
          </a:r>
        </a:p>
        <a:p>
          <a:r>
            <a:rPr lang="es-CO" sz="1600" kern="1200"/>
            <a:t>MANTENIMIENTO MOTO$800.000</a:t>
          </a:r>
        </a:p>
        <a:p>
          <a:r>
            <a:rPr lang="es-CO" sz="1600" kern="1200"/>
            <a:t>ARRENDAMIENTO$100.000</a:t>
          </a:r>
        </a:p>
        <a:p>
          <a:r>
            <a:rPr lang="es-CO" sz="1600" kern="1200"/>
            <a:t>TOTAL</a:t>
          </a:r>
          <a:r>
            <a:rPr lang="es-CO" sz="1600" kern="1200" baseline="0"/>
            <a:t> $1.400.000</a:t>
          </a:r>
        </a:p>
        <a:p>
          <a:endParaRPr lang="es-CO" sz="1100" kern="1200"/>
        </a:p>
        <a:p>
          <a:endParaRPr lang="es-CO" sz="1100" kern="1200"/>
        </a:p>
      </xdr:txBody>
    </xdr:sp>
    <xdr:clientData/>
  </xdr:twoCellAnchor>
  <xdr:twoCellAnchor>
    <xdr:from>
      <xdr:col>17</xdr:col>
      <xdr:colOff>1019175</xdr:colOff>
      <xdr:row>7</xdr:row>
      <xdr:rowOff>592455</xdr:rowOff>
    </xdr:from>
    <xdr:to>
      <xdr:col>20</xdr:col>
      <xdr:colOff>499110</xdr:colOff>
      <xdr:row>7</xdr:row>
      <xdr:rowOff>1228725</xdr:rowOff>
    </xdr:to>
    <xdr:sp macro="" textlink="">
      <xdr:nvSpPr>
        <xdr:cNvPr id="94" name="CuadroTexto 93">
          <a:extLst>
            <a:ext uri="{FF2B5EF4-FFF2-40B4-BE49-F238E27FC236}">
              <a16:creationId xmlns:a16="http://schemas.microsoft.com/office/drawing/2014/main" id="{D97A1BBA-6736-4A25-B1EB-77FEB9A70308}"/>
            </a:ext>
          </a:extLst>
        </xdr:cNvPr>
        <xdr:cNvSpPr txBox="1"/>
      </xdr:nvSpPr>
      <xdr:spPr>
        <a:xfrm>
          <a:off x="18364200" y="3469005"/>
          <a:ext cx="2204085" cy="636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kern="1200">
              <a:solidFill>
                <a:schemeClr val="accent3">
                  <a:lumMod val="60000"/>
                  <a:lumOff val="40000"/>
                </a:schemeClr>
              </a:solidFill>
            </a:rPr>
            <a:t>DISTRIBUCIÓN</a:t>
          </a:r>
        </a:p>
      </xdr:txBody>
    </xdr:sp>
    <xdr:clientData/>
  </xdr:twoCellAnchor>
  <xdr:twoCellAnchor>
    <xdr:from>
      <xdr:col>8</xdr:col>
      <xdr:colOff>807720</xdr:colOff>
      <xdr:row>41</xdr:row>
      <xdr:rowOff>76200</xdr:rowOff>
    </xdr:from>
    <xdr:to>
      <xdr:col>10</xdr:col>
      <xdr:colOff>76200</xdr:colOff>
      <xdr:row>45</xdr:row>
      <xdr:rowOff>15240</xdr:rowOff>
    </xdr:to>
    <xdr:sp macro="" textlink="">
      <xdr:nvSpPr>
        <xdr:cNvPr id="95" name="Rectángulo: esquinas redondeadas 94">
          <a:extLst>
            <a:ext uri="{FF2B5EF4-FFF2-40B4-BE49-F238E27FC236}">
              <a16:creationId xmlns:a16="http://schemas.microsoft.com/office/drawing/2014/main" id="{640ADB2E-C39D-4DF4-8B48-27BBE5328F5A}"/>
            </a:ext>
          </a:extLst>
        </xdr:cNvPr>
        <xdr:cNvSpPr/>
      </xdr:nvSpPr>
      <xdr:spPr>
        <a:xfrm>
          <a:off x="11353800" y="12771120"/>
          <a:ext cx="2240280" cy="670560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 kern="1200"/>
        </a:p>
      </xdr:txBody>
    </xdr:sp>
    <xdr:clientData/>
  </xdr:twoCellAnchor>
  <xdr:twoCellAnchor>
    <xdr:from>
      <xdr:col>8</xdr:col>
      <xdr:colOff>868680</xdr:colOff>
      <xdr:row>42</xdr:row>
      <xdr:rowOff>45720</xdr:rowOff>
    </xdr:from>
    <xdr:to>
      <xdr:col>9</xdr:col>
      <xdr:colOff>1203960</xdr:colOff>
      <xdr:row>44</xdr:row>
      <xdr:rowOff>152400</xdr:rowOff>
    </xdr:to>
    <xdr:sp macro="" textlink="">
      <xdr:nvSpPr>
        <xdr:cNvPr id="96" name="CuadroTexto 95">
          <a:extLst>
            <a:ext uri="{FF2B5EF4-FFF2-40B4-BE49-F238E27FC236}">
              <a16:creationId xmlns:a16="http://schemas.microsoft.com/office/drawing/2014/main" id="{0040C45E-6161-4AF0-8736-4BA4D97DA291}"/>
            </a:ext>
          </a:extLst>
        </xdr:cNvPr>
        <xdr:cNvSpPr txBox="1"/>
      </xdr:nvSpPr>
      <xdr:spPr>
        <a:xfrm>
          <a:off x="11414760" y="12923520"/>
          <a:ext cx="2004060" cy="4724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kern="1200"/>
            <a:t>MANTENIMIENTO</a:t>
          </a:r>
          <a:r>
            <a:rPr lang="es-CO" sz="1100" kern="1200" baseline="0"/>
            <a:t> MOTO</a:t>
          </a:r>
          <a:endParaRPr lang="es-CO" sz="1100" kern="1200"/>
        </a:p>
      </xdr:txBody>
    </xdr:sp>
    <xdr:clientData/>
  </xdr:twoCellAnchor>
  <xdr:twoCellAnchor>
    <xdr:from>
      <xdr:col>10</xdr:col>
      <xdr:colOff>60960</xdr:colOff>
      <xdr:row>45</xdr:row>
      <xdr:rowOff>15240</xdr:rowOff>
    </xdr:from>
    <xdr:to>
      <xdr:col>10</xdr:col>
      <xdr:colOff>579120</xdr:colOff>
      <xdr:row>48</xdr:row>
      <xdr:rowOff>152400</xdr:rowOff>
    </xdr:to>
    <xdr:cxnSp macro="">
      <xdr:nvCxnSpPr>
        <xdr:cNvPr id="97" name="Conector recto de flecha 96">
          <a:extLst>
            <a:ext uri="{FF2B5EF4-FFF2-40B4-BE49-F238E27FC236}">
              <a16:creationId xmlns:a16="http://schemas.microsoft.com/office/drawing/2014/main" id="{F0F14423-0C0A-43F6-A8CE-BA0A3BE8164A}"/>
            </a:ext>
          </a:extLst>
        </xdr:cNvPr>
        <xdr:cNvCxnSpPr/>
      </xdr:nvCxnSpPr>
      <xdr:spPr>
        <a:xfrm>
          <a:off x="13578840" y="13441680"/>
          <a:ext cx="518160" cy="6858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990600</xdr:colOff>
      <xdr:row>45</xdr:row>
      <xdr:rowOff>161925</xdr:rowOff>
    </xdr:from>
    <xdr:to>
      <xdr:col>4</xdr:col>
      <xdr:colOff>1085850</xdr:colOff>
      <xdr:row>50</xdr:row>
      <xdr:rowOff>133350</xdr:rowOff>
    </xdr:to>
    <xdr:cxnSp macro="">
      <xdr:nvCxnSpPr>
        <xdr:cNvPr id="101" name="Conector recto de flecha 100">
          <a:extLst>
            <a:ext uri="{FF2B5EF4-FFF2-40B4-BE49-F238E27FC236}">
              <a16:creationId xmlns:a16="http://schemas.microsoft.com/office/drawing/2014/main" id="{F7E4D508-2CCD-F37E-273A-76DC31E0F305}"/>
            </a:ext>
          </a:extLst>
        </xdr:cNvPr>
        <xdr:cNvCxnSpPr/>
      </xdr:nvCxnSpPr>
      <xdr:spPr>
        <a:xfrm>
          <a:off x="4248150" y="15516225"/>
          <a:ext cx="1466850" cy="8763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581025</xdr:colOff>
      <xdr:row>297</xdr:row>
      <xdr:rowOff>238125</xdr:rowOff>
    </xdr:from>
    <xdr:to>
      <xdr:col>29</xdr:col>
      <xdr:colOff>438149</xdr:colOff>
      <xdr:row>308</xdr:row>
      <xdr:rowOff>233363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974EB5CE-A51C-266F-649F-977EE821E6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142875</xdr:colOff>
      <xdr:row>310</xdr:row>
      <xdr:rowOff>23813</xdr:rowOff>
    </xdr:from>
    <xdr:to>
      <xdr:col>30</xdr:col>
      <xdr:colOff>762000</xdr:colOff>
      <xdr:row>319</xdr:row>
      <xdr:rowOff>14288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49F49C4B-37DF-27A6-AF99-38CA4AE88B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485775</xdr:colOff>
      <xdr:row>128</xdr:row>
      <xdr:rowOff>128588</xdr:rowOff>
    </xdr:from>
    <xdr:to>
      <xdr:col>14</xdr:col>
      <xdr:colOff>1028700</xdr:colOff>
      <xdr:row>141</xdr:row>
      <xdr:rowOff>33338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EA51D9D7-5805-2FD1-47AB-711D9457A9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266701</xdr:colOff>
      <xdr:row>36</xdr:row>
      <xdr:rowOff>45719</xdr:rowOff>
    </xdr:from>
    <xdr:to>
      <xdr:col>17</xdr:col>
      <xdr:colOff>480060</xdr:colOff>
      <xdr:row>69</xdr:row>
      <xdr:rowOff>23490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77AEFC-A4FA-DFAC-4785-42A0D8DCE6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43" t="28466" r="23844" b="13110"/>
        <a:stretch/>
      </xdr:blipFill>
      <xdr:spPr>
        <a:xfrm>
          <a:off x="266701" y="6857999"/>
          <a:ext cx="13639799" cy="6012811"/>
        </a:xfrm>
        <a:prstGeom prst="rect">
          <a:avLst/>
        </a:prstGeom>
      </xdr:spPr>
    </xdr:pic>
    <xdr:clientData/>
  </xdr:twoCellAnchor>
  <xdr:twoCellAnchor editAs="oneCell">
    <xdr:from>
      <xdr:col>1</xdr:col>
      <xdr:colOff>518161</xdr:colOff>
      <xdr:row>97</xdr:row>
      <xdr:rowOff>144780</xdr:rowOff>
    </xdr:from>
    <xdr:to>
      <xdr:col>19</xdr:col>
      <xdr:colOff>167640</xdr:colOff>
      <xdr:row>132</xdr:row>
      <xdr:rowOff>38100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43F7729-F5AD-0542-5618-03CDD6DF45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33" t="24075" r="15887" b="10299"/>
        <a:stretch/>
      </xdr:blipFill>
      <xdr:spPr>
        <a:xfrm>
          <a:off x="929641" y="18112740"/>
          <a:ext cx="14249399" cy="629412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220981</xdr:colOff>
      <xdr:row>64</xdr:row>
      <xdr:rowOff>91440</xdr:rowOff>
    </xdr:from>
    <xdr:to>
      <xdr:col>17</xdr:col>
      <xdr:colOff>198120</xdr:colOff>
      <xdr:row>93</xdr:row>
      <xdr:rowOff>77806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5D5136-6360-3C38-BACA-6A1E74F21B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500" t="28859" r="24010" b="9502"/>
        <a:stretch/>
      </xdr:blipFill>
      <xdr:spPr>
        <a:xfrm>
          <a:off x="1760221" y="12024360"/>
          <a:ext cx="11864339" cy="5289886"/>
        </a:xfrm>
        <a:prstGeom prst="rect">
          <a:avLst/>
        </a:prstGeom>
      </xdr:spPr>
    </xdr:pic>
    <xdr:clientData/>
  </xdr:twoCellAnchor>
  <xdr:twoCellAnchor editAs="oneCell">
    <xdr:from>
      <xdr:col>1</xdr:col>
      <xdr:colOff>480061</xdr:colOff>
      <xdr:row>146</xdr:row>
      <xdr:rowOff>106680</xdr:rowOff>
    </xdr:from>
    <xdr:to>
      <xdr:col>20</xdr:col>
      <xdr:colOff>68580</xdr:colOff>
      <xdr:row>182</xdr:row>
      <xdr:rowOff>83820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CFACBD2-EB49-EEFE-2D3E-44187686D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25" t="25565" r="15471" b="6915"/>
        <a:stretch/>
      </xdr:blipFill>
      <xdr:spPr>
        <a:xfrm>
          <a:off x="891541" y="27035760"/>
          <a:ext cx="14980919" cy="6560820"/>
        </a:xfrm>
        <a:prstGeom prst="rect">
          <a:avLst/>
        </a:prstGeom>
      </xdr:spPr>
    </xdr:pic>
    <xdr:clientData/>
  </xdr:twoCellAnchor>
  <xdr:twoCellAnchor editAs="oneCell">
    <xdr:from>
      <xdr:col>0</xdr:col>
      <xdr:colOff>274319</xdr:colOff>
      <xdr:row>13</xdr:row>
      <xdr:rowOff>68581</xdr:rowOff>
    </xdr:from>
    <xdr:to>
      <xdr:col>17</xdr:col>
      <xdr:colOff>541020</xdr:colOff>
      <xdr:row>35</xdr:row>
      <xdr:rowOff>137161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C289804-C95C-E358-5AE0-79DD6D9A3C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652" t="29725" r="25260" b="6758"/>
        <a:stretch/>
      </xdr:blipFill>
      <xdr:spPr>
        <a:xfrm>
          <a:off x="274319" y="2674621"/>
          <a:ext cx="13693141" cy="40919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182880</xdr:colOff>
      <xdr:row>13</xdr:row>
      <xdr:rowOff>144780</xdr:rowOff>
    </xdr:from>
    <xdr:to>
      <xdr:col>25</xdr:col>
      <xdr:colOff>7619</xdr:colOff>
      <xdr:row>26</xdr:row>
      <xdr:rowOff>154845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2012FF-A7C3-444A-B110-019349CB7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302" t="18250" r="16913"/>
        <a:stretch/>
      </xdr:blipFill>
      <xdr:spPr>
        <a:xfrm>
          <a:off x="19194780" y="2598420"/>
          <a:ext cx="2994659" cy="2486565"/>
        </a:xfrm>
        <a:prstGeom prst="rect">
          <a:avLst/>
        </a:prstGeom>
      </xdr:spPr>
    </xdr:pic>
    <xdr:clientData/>
  </xdr:twoCellAnchor>
  <xdr:twoCellAnchor editAs="oneCell">
    <xdr:from>
      <xdr:col>14</xdr:col>
      <xdr:colOff>631152</xdr:colOff>
      <xdr:row>23</xdr:row>
      <xdr:rowOff>161636</xdr:rowOff>
    </xdr:from>
    <xdr:to>
      <xdr:col>19</xdr:col>
      <xdr:colOff>768600</xdr:colOff>
      <xdr:row>31</xdr:row>
      <xdr:rowOff>91292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6A431B-0C0B-4D29-B780-F076FC4A01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492" t="54583" r="42340" b="25681"/>
        <a:stretch/>
      </xdr:blipFill>
      <xdr:spPr>
        <a:xfrm>
          <a:off x="13516572" y="4520276"/>
          <a:ext cx="4678968" cy="14460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895350</xdr:colOff>
      <xdr:row>18</xdr:row>
      <xdr:rowOff>42863</xdr:rowOff>
    </xdr:from>
    <xdr:to>
      <xdr:col>16</xdr:col>
      <xdr:colOff>142874</xdr:colOff>
      <xdr:row>32</xdr:row>
      <xdr:rowOff>38101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B4389E-63D1-481D-BE9B-6B9A2BCEB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257175</xdr:colOff>
      <xdr:row>1</xdr:row>
      <xdr:rowOff>152400</xdr:rowOff>
    </xdr:from>
    <xdr:to>
      <xdr:col>7</xdr:col>
      <xdr:colOff>142875</xdr:colOff>
      <xdr:row>6</xdr:row>
      <xdr:rowOff>91440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10F204-950C-4DD7-A214-E3B977398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19600" y="342900"/>
          <a:ext cx="1409700" cy="127254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1</xdr:row>
      <xdr:rowOff>142875</xdr:rowOff>
    </xdr:from>
    <xdr:to>
      <xdr:col>7</xdr:col>
      <xdr:colOff>93026</xdr:colOff>
      <xdr:row>6</xdr:row>
      <xdr:rowOff>28575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EC9C7D-3CCB-44C0-98AF-4E476E0A9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8175" y="333375"/>
          <a:ext cx="1331276" cy="12192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276225</xdr:colOff>
      <xdr:row>1</xdr:row>
      <xdr:rowOff>133350</xdr:rowOff>
    </xdr:from>
    <xdr:to>
      <xdr:col>7</xdr:col>
      <xdr:colOff>123825</xdr:colOff>
      <xdr:row>6</xdr:row>
      <xdr:rowOff>55979</xdr:rowOff>
    </xdr:to>
    <xdr:pic>
      <xdr:nvPicPr>
        <xdr:cNvPr id="3" name="Imagen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7C4D878-C548-45F8-8C0E-6A9F586B9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38650" y="323850"/>
          <a:ext cx="1371600" cy="1256129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285750</xdr:colOff>
      <xdr:row>2</xdr:row>
      <xdr:rowOff>219075</xdr:rowOff>
    </xdr:from>
    <xdr:to>
      <xdr:col>8</xdr:col>
      <xdr:colOff>171450</xdr:colOff>
      <xdr:row>5</xdr:row>
      <xdr:rowOff>167640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0F51CF-D888-4647-8D10-73A4D69BE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19750" y="600075"/>
          <a:ext cx="1409700" cy="1272540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333374</xdr:colOff>
      <xdr:row>2</xdr:row>
      <xdr:rowOff>276225</xdr:rowOff>
    </xdr:from>
    <xdr:to>
      <xdr:col>8</xdr:col>
      <xdr:colOff>133349</xdr:colOff>
      <xdr:row>5</xdr:row>
      <xdr:rowOff>76200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E0FEBED-2D4C-4BB3-A498-754CF52AE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67374" y="657225"/>
          <a:ext cx="1323975" cy="112395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314325</xdr:colOff>
      <xdr:row>2</xdr:row>
      <xdr:rowOff>251659</xdr:rowOff>
    </xdr:from>
    <xdr:to>
      <xdr:col>8</xdr:col>
      <xdr:colOff>161925</xdr:colOff>
      <xdr:row>5</xdr:row>
      <xdr:rowOff>140198</xdr:rowOff>
    </xdr:to>
    <xdr:pic>
      <xdr:nvPicPr>
        <xdr:cNvPr id="3" name="Imagen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9A2B1D5-52DD-4209-829D-B198F396D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48325" y="632659"/>
          <a:ext cx="1371600" cy="121251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751898</xdr:colOff>
      <xdr:row>7</xdr:row>
      <xdr:rowOff>6638</xdr:rowOff>
    </xdr:from>
    <xdr:to>
      <xdr:col>9</xdr:col>
      <xdr:colOff>590262</xdr:colOff>
      <xdr:row>20</xdr:row>
      <xdr:rowOff>180974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971EE16-B666-49BA-8068-42ACB863AD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723033</xdr:colOff>
      <xdr:row>9</xdr:row>
      <xdr:rowOff>6639</xdr:rowOff>
    </xdr:from>
    <xdr:to>
      <xdr:col>23</xdr:col>
      <xdr:colOff>705715</xdr:colOff>
      <xdr:row>22</xdr:row>
      <xdr:rowOff>195407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388F08A-3719-EC01-41EC-0CE5D4CC63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751896</xdr:colOff>
      <xdr:row>26</xdr:row>
      <xdr:rowOff>194251</xdr:rowOff>
    </xdr:from>
    <xdr:to>
      <xdr:col>23</xdr:col>
      <xdr:colOff>734578</xdr:colOff>
      <xdr:row>40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950EA08-8DB7-ED24-240A-158EEFD99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1443</xdr:colOff>
      <xdr:row>26</xdr:row>
      <xdr:rowOff>194251</xdr:rowOff>
    </xdr:from>
    <xdr:to>
      <xdr:col>9</xdr:col>
      <xdr:colOff>604693</xdr:colOff>
      <xdr:row>40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11B7676-EE21-CC9D-F9AE-1096708D8B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0</xdr:colOff>
      <xdr:row>11</xdr:row>
      <xdr:rowOff>184264</xdr:rowOff>
    </xdr:from>
    <xdr:to>
      <xdr:col>11</xdr:col>
      <xdr:colOff>210316</xdr:colOff>
      <xdr:row>18</xdr:row>
      <xdr:rowOff>140071</xdr:rowOff>
    </xdr:to>
    <xdr:pic>
      <xdr:nvPicPr>
        <xdr:cNvPr id="3" name="Imagen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F12E91-4244-472C-83F6-49697451D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82273" y="2320173"/>
          <a:ext cx="1480316" cy="1355693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-1</xdr:colOff>
      <xdr:row>11</xdr:row>
      <xdr:rowOff>187614</xdr:rowOff>
    </xdr:from>
    <xdr:to>
      <xdr:col>11</xdr:col>
      <xdr:colOff>245340</xdr:colOff>
      <xdr:row>18</xdr:row>
      <xdr:rowOff>175497</xdr:rowOff>
    </xdr:to>
    <xdr:pic>
      <xdr:nvPicPr>
        <xdr:cNvPr id="7" name="Imagen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ECE368E-B22F-4A42-808B-6EF007518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82272" y="2323523"/>
          <a:ext cx="1515341" cy="1387769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613E3-AD22-477B-8413-0795A05742B3}">
  <dimension ref="A1:O23"/>
  <sheetViews>
    <sheetView workbookViewId="0"/>
  </sheetViews>
  <sheetFormatPr baseColWidth="10" defaultRowHeight="15" x14ac:dyDescent="0.25"/>
  <sheetData>
    <row r="1" spans="1:15" x14ac:dyDescent="0.25">
      <c r="A1" s="387"/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</row>
    <row r="2" spans="1:15" x14ac:dyDescent="0.25">
      <c r="A2" s="387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</row>
    <row r="3" spans="1:15" x14ac:dyDescent="0.25">
      <c r="A3" s="387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</row>
    <row r="4" spans="1:15" x14ac:dyDescent="0.25">
      <c r="A4" s="387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</row>
    <row r="5" spans="1:15" x14ac:dyDescent="0.25">
      <c r="A5" s="387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5" x14ac:dyDescent="0.25">
      <c r="A6" s="387"/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</row>
    <row r="7" spans="1:15" x14ac:dyDescent="0.25">
      <c r="A7" s="387"/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</row>
    <row r="8" spans="1:15" x14ac:dyDescent="0.25">
      <c r="A8" s="387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8"/>
    </row>
    <row r="9" spans="1:15" x14ac:dyDescent="0.25">
      <c r="A9" s="387"/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</row>
    <row r="10" spans="1:15" x14ac:dyDescent="0.25">
      <c r="A10" s="387"/>
      <c r="B10" s="168"/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68"/>
      <c r="N10" s="168"/>
      <c r="O10" s="168"/>
    </row>
    <row r="11" spans="1:15" x14ac:dyDescent="0.25">
      <c r="A11" s="387"/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O11" s="168"/>
    </row>
    <row r="12" spans="1:15" x14ac:dyDescent="0.25">
      <c r="A12" s="387"/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</row>
    <row r="13" spans="1:15" x14ac:dyDescent="0.25">
      <c r="A13" s="387"/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</row>
    <row r="14" spans="1:15" x14ac:dyDescent="0.25">
      <c r="A14" s="387"/>
      <c r="B14" s="168"/>
      <c r="C14" s="168"/>
      <c r="D14" s="168"/>
      <c r="E14" s="168"/>
      <c r="F14" s="389"/>
      <c r="G14" s="168"/>
      <c r="H14" s="168"/>
      <c r="I14" s="168"/>
      <c r="J14" s="168"/>
      <c r="K14" s="168"/>
      <c r="L14" s="168"/>
      <c r="M14" s="168"/>
      <c r="N14" s="168"/>
      <c r="O14" s="168"/>
    </row>
    <row r="15" spans="1:15" x14ac:dyDescent="0.25">
      <c r="A15" s="387"/>
      <c r="B15" s="168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</row>
    <row r="16" spans="1:15" x14ac:dyDescent="0.25">
      <c r="A16" s="387"/>
      <c r="B16" s="168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</row>
    <row r="17" spans="1:15" ht="26.25" x14ac:dyDescent="0.25">
      <c r="A17" s="387"/>
      <c r="B17" s="168"/>
      <c r="C17" s="388"/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</row>
    <row r="18" spans="1:15" x14ac:dyDescent="0.25">
      <c r="A18" s="387"/>
      <c r="B18" s="168"/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</row>
    <row r="19" spans="1:15" x14ac:dyDescent="0.25">
      <c r="A19" s="387"/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</row>
    <row r="20" spans="1:15" x14ac:dyDescent="0.25">
      <c r="A20" s="387"/>
      <c r="B20" s="168"/>
      <c r="C20" s="168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</row>
    <row r="21" spans="1:15" x14ac:dyDescent="0.25">
      <c r="A21" s="387"/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</row>
    <row r="22" spans="1:15" x14ac:dyDescent="0.25">
      <c r="A22" s="387"/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</row>
    <row r="23" spans="1:15" x14ac:dyDescent="0.25">
      <c r="A23" s="387"/>
      <c r="B23" s="168"/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A9F2A-0453-430C-AEC1-475CF5DD8B5F}">
  <dimension ref="C4:M38"/>
  <sheetViews>
    <sheetView topLeftCell="A6" workbookViewId="0">
      <selection activeCell="G26" sqref="G26"/>
    </sheetView>
  </sheetViews>
  <sheetFormatPr baseColWidth="10" defaultRowHeight="15" x14ac:dyDescent="0.25"/>
  <cols>
    <col min="4" max="4" width="14.42578125" customWidth="1"/>
    <col min="5" max="5" width="16.5703125" customWidth="1"/>
    <col min="6" max="6" width="14.7109375" customWidth="1"/>
  </cols>
  <sheetData>
    <row r="4" spans="3:7" x14ac:dyDescent="0.25">
      <c r="D4" t="s">
        <v>408</v>
      </c>
    </row>
    <row r="5" spans="3:7" x14ac:dyDescent="0.25">
      <c r="D5" s="8">
        <v>0.1</v>
      </c>
    </row>
    <row r="6" spans="3:7" ht="30" x14ac:dyDescent="0.25">
      <c r="D6" s="80" t="s">
        <v>409</v>
      </c>
      <c r="E6" s="80" t="s">
        <v>410</v>
      </c>
    </row>
    <row r="7" spans="3:7" ht="30" x14ac:dyDescent="0.25">
      <c r="C7" s="86" t="s">
        <v>411</v>
      </c>
      <c r="D7" s="163">
        <v>1204570.5882352942</v>
      </c>
      <c r="E7" s="11">
        <f>D7*10%</f>
        <v>120457.05882352943</v>
      </c>
      <c r="F7" s="12">
        <f>D7-E7</f>
        <v>1084113.5294117648</v>
      </c>
      <c r="G7" s="12">
        <f>F7/5</f>
        <v>216822.70588235295</v>
      </c>
    </row>
    <row r="8" spans="3:7" ht="30" x14ac:dyDescent="0.25">
      <c r="D8" s="163" t="s">
        <v>412</v>
      </c>
      <c r="E8" s="11" t="s">
        <v>413</v>
      </c>
      <c r="F8" s="179" t="s">
        <v>414</v>
      </c>
      <c r="G8" s="12" t="s">
        <v>415</v>
      </c>
    </row>
    <row r="9" spans="3:7" x14ac:dyDescent="0.25">
      <c r="D9" t="s">
        <v>416</v>
      </c>
      <c r="E9" s="12">
        <f>F7</f>
        <v>1084113.5294117648</v>
      </c>
      <c r="F9" s="12">
        <f>G7</f>
        <v>216822.70588235295</v>
      </c>
      <c r="G9" s="180">
        <f>F9/12</f>
        <v>18068.558823529413</v>
      </c>
    </row>
    <row r="10" spans="3:7" x14ac:dyDescent="0.25">
      <c r="D10" t="s">
        <v>417</v>
      </c>
      <c r="E10" s="12">
        <f>E9-F9</f>
        <v>867290.82352941181</v>
      </c>
      <c r="F10" s="12">
        <f>F9</f>
        <v>216822.70588235295</v>
      </c>
    </row>
    <row r="11" spans="3:7" x14ac:dyDescent="0.25">
      <c r="D11" t="s">
        <v>418</v>
      </c>
      <c r="E11" s="12">
        <f>E10-F10</f>
        <v>650468.1176470588</v>
      </c>
      <c r="F11" s="12">
        <f>F10</f>
        <v>216822.70588235295</v>
      </c>
    </row>
    <row r="12" spans="3:7" x14ac:dyDescent="0.25">
      <c r="D12" t="s">
        <v>419</v>
      </c>
      <c r="E12" s="12">
        <f>E11-F11</f>
        <v>433645.41176470584</v>
      </c>
      <c r="F12" s="12">
        <f>F11</f>
        <v>216822.70588235295</v>
      </c>
    </row>
    <row r="13" spans="3:7" x14ac:dyDescent="0.25">
      <c r="D13" t="s">
        <v>420</v>
      </c>
      <c r="E13" s="12">
        <f>E12-F12</f>
        <v>216822.70588235289</v>
      </c>
      <c r="F13">
        <v>0</v>
      </c>
    </row>
    <row r="16" spans="3:7" x14ac:dyDescent="0.25">
      <c r="C16" s="181" t="s">
        <v>267</v>
      </c>
      <c r="D16" s="163">
        <v>1680672.2689075631</v>
      </c>
      <c r="E16" s="11">
        <f>D16*10%</f>
        <v>168067.22689075631</v>
      </c>
      <c r="F16" s="163">
        <f>D16-E16</f>
        <v>1512605.0420168068</v>
      </c>
      <c r="G16" s="11">
        <f>F16/10</f>
        <v>151260.50420168068</v>
      </c>
    </row>
    <row r="17" spans="3:13" ht="30" x14ac:dyDescent="0.25">
      <c r="D17" s="163" t="s">
        <v>412</v>
      </c>
      <c r="E17" s="11" t="s">
        <v>413</v>
      </c>
      <c r="F17" s="179" t="s">
        <v>414</v>
      </c>
      <c r="G17" s="12" t="s">
        <v>415</v>
      </c>
    </row>
    <row r="18" spans="3:13" x14ac:dyDescent="0.25">
      <c r="D18" t="s">
        <v>416</v>
      </c>
      <c r="E18" s="163">
        <f>F16</f>
        <v>1512605.0420168068</v>
      </c>
      <c r="F18" s="12">
        <f>G16</f>
        <v>151260.50420168068</v>
      </c>
      <c r="G18" s="182">
        <f>F18/12</f>
        <v>12605.042016806723</v>
      </c>
      <c r="M18" t="s">
        <v>421</v>
      </c>
    </row>
    <row r="19" spans="3:13" x14ac:dyDescent="0.25">
      <c r="D19" t="s">
        <v>417</v>
      </c>
      <c r="E19" s="12">
        <f>E18-F18</f>
        <v>1361344.5378151261</v>
      </c>
      <c r="F19" s="12">
        <f t="shared" ref="F19:F26" si="0">F18</f>
        <v>151260.50420168068</v>
      </c>
    </row>
    <row r="20" spans="3:13" x14ac:dyDescent="0.25">
      <c r="D20" t="s">
        <v>418</v>
      </c>
      <c r="E20" s="12">
        <f t="shared" ref="E20:E26" si="1">E19-F20</f>
        <v>1210084.0336134455</v>
      </c>
      <c r="F20" s="12">
        <f t="shared" si="0"/>
        <v>151260.50420168068</v>
      </c>
    </row>
    <row r="21" spans="3:13" x14ac:dyDescent="0.25">
      <c r="D21" t="s">
        <v>419</v>
      </c>
      <c r="E21" s="12">
        <f t="shared" si="1"/>
        <v>1058823.5294117648</v>
      </c>
      <c r="F21" s="12">
        <f t="shared" si="0"/>
        <v>151260.50420168068</v>
      </c>
    </row>
    <row r="22" spans="3:13" x14ac:dyDescent="0.25">
      <c r="D22" t="s">
        <v>420</v>
      </c>
      <c r="E22" s="12">
        <f t="shared" si="1"/>
        <v>907563.02521008416</v>
      </c>
      <c r="F22" s="12">
        <f t="shared" si="0"/>
        <v>151260.50420168068</v>
      </c>
    </row>
    <row r="23" spans="3:13" x14ac:dyDescent="0.25">
      <c r="D23" t="s">
        <v>422</v>
      </c>
      <c r="E23" s="12">
        <f t="shared" si="1"/>
        <v>756302.52100840351</v>
      </c>
      <c r="F23" s="12">
        <f t="shared" si="0"/>
        <v>151260.50420168068</v>
      </c>
    </row>
    <row r="24" spans="3:13" x14ac:dyDescent="0.25">
      <c r="D24" t="s">
        <v>423</v>
      </c>
      <c r="E24" s="12">
        <f t="shared" si="1"/>
        <v>605042.01680672285</v>
      </c>
      <c r="F24" s="12">
        <f t="shared" si="0"/>
        <v>151260.50420168068</v>
      </c>
    </row>
    <row r="25" spans="3:13" x14ac:dyDescent="0.25">
      <c r="D25" t="s">
        <v>424</v>
      </c>
      <c r="E25" s="12">
        <f t="shared" si="1"/>
        <v>453781.5126050422</v>
      </c>
      <c r="F25" s="12">
        <f t="shared" si="0"/>
        <v>151260.50420168068</v>
      </c>
    </row>
    <row r="26" spans="3:13" x14ac:dyDescent="0.25">
      <c r="D26" t="s">
        <v>425</v>
      </c>
      <c r="E26" s="12">
        <f t="shared" si="1"/>
        <v>302521.00840336154</v>
      </c>
      <c r="F26" s="12">
        <f t="shared" si="0"/>
        <v>151260.50420168068</v>
      </c>
    </row>
    <row r="27" spans="3:13" x14ac:dyDescent="0.25">
      <c r="D27" t="s">
        <v>426</v>
      </c>
      <c r="E27" s="12">
        <f>E26-F26</f>
        <v>151260.50420168086</v>
      </c>
      <c r="F27">
        <v>0</v>
      </c>
    </row>
    <row r="31" spans="3:13" ht="30" x14ac:dyDescent="0.25">
      <c r="D31" s="80" t="s">
        <v>409</v>
      </c>
      <c r="E31" s="80" t="s">
        <v>410</v>
      </c>
    </row>
    <row r="32" spans="3:13" x14ac:dyDescent="0.25">
      <c r="C32" s="183" t="s">
        <v>427</v>
      </c>
      <c r="D32" s="163">
        <v>7000000</v>
      </c>
      <c r="E32" s="11">
        <f>D32*10%</f>
        <v>700000</v>
      </c>
      <c r="F32" s="12">
        <f>D32-E32</f>
        <v>6300000</v>
      </c>
      <c r="G32" s="12">
        <f>F32/5</f>
        <v>1260000</v>
      </c>
    </row>
    <row r="33" spans="4:7" ht="30" x14ac:dyDescent="0.25">
      <c r="D33" s="163" t="s">
        <v>412</v>
      </c>
      <c r="E33" s="11" t="s">
        <v>413</v>
      </c>
      <c r="F33" s="179" t="s">
        <v>414</v>
      </c>
      <c r="G33" s="12" t="s">
        <v>415</v>
      </c>
    </row>
    <row r="34" spans="4:7" x14ac:dyDescent="0.25">
      <c r="D34" t="s">
        <v>416</v>
      </c>
      <c r="E34" s="12">
        <f>F32</f>
        <v>6300000</v>
      </c>
      <c r="F34" s="12">
        <f>G32</f>
        <v>1260000</v>
      </c>
      <c r="G34" s="184">
        <f>F34/12</f>
        <v>105000</v>
      </c>
    </row>
    <row r="35" spans="4:7" x14ac:dyDescent="0.25">
      <c r="D35" t="s">
        <v>417</v>
      </c>
      <c r="E35" s="12">
        <f>E34-F34</f>
        <v>5040000</v>
      </c>
      <c r="F35" s="12">
        <f>F34</f>
        <v>1260000</v>
      </c>
    </row>
    <row r="36" spans="4:7" x14ac:dyDescent="0.25">
      <c r="D36" t="s">
        <v>418</v>
      </c>
      <c r="E36" s="12">
        <f>E35-F35</f>
        <v>3780000</v>
      </c>
      <c r="F36" s="12">
        <f>F35</f>
        <v>1260000</v>
      </c>
    </row>
    <row r="37" spans="4:7" x14ac:dyDescent="0.25">
      <c r="D37" t="s">
        <v>419</v>
      </c>
      <c r="E37" s="12">
        <f>E36-F36</f>
        <v>2520000</v>
      </c>
      <c r="F37" s="12">
        <f>F36</f>
        <v>1260000</v>
      </c>
    </row>
    <row r="38" spans="4:7" x14ac:dyDescent="0.25">
      <c r="D38" t="s">
        <v>420</v>
      </c>
      <c r="E38" s="12">
        <f>E37-F37</f>
        <v>1260000</v>
      </c>
      <c r="F38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8498E-17FB-4D50-982B-82640C8811A9}">
  <dimension ref="B2:E18"/>
  <sheetViews>
    <sheetView workbookViewId="0"/>
  </sheetViews>
  <sheetFormatPr baseColWidth="10" defaultRowHeight="15" x14ac:dyDescent="0.25"/>
  <cols>
    <col min="3" max="3" width="16.7109375" customWidth="1"/>
  </cols>
  <sheetData>
    <row r="2" spans="2:4" x14ac:dyDescent="0.25">
      <c r="B2">
        <v>51</v>
      </c>
      <c r="C2" t="s">
        <v>562</v>
      </c>
    </row>
    <row r="3" spans="2:4" x14ac:dyDescent="0.25">
      <c r="B3" s="205">
        <v>510506</v>
      </c>
      <c r="C3" s="206" t="s">
        <v>534</v>
      </c>
      <c r="D3" s="214">
        <v>1300000</v>
      </c>
    </row>
    <row r="4" spans="2:4" ht="30" x14ac:dyDescent="0.25">
      <c r="B4" s="205">
        <v>510527</v>
      </c>
      <c r="C4" s="206" t="s">
        <v>484</v>
      </c>
      <c r="D4" s="214">
        <v>304000</v>
      </c>
    </row>
    <row r="5" spans="2:4" x14ac:dyDescent="0.25">
      <c r="B5" s="205">
        <v>510530</v>
      </c>
      <c r="C5" s="206" t="s">
        <v>535</v>
      </c>
      <c r="D5" s="214">
        <f>CONTABILIZACIÓN!D161</f>
        <v>133613.20000000001</v>
      </c>
    </row>
    <row r="6" spans="2:4" ht="30" x14ac:dyDescent="0.25">
      <c r="B6" s="205">
        <v>510533</v>
      </c>
      <c r="C6" s="206" t="s">
        <v>531</v>
      </c>
      <c r="D6" s="214">
        <f>CONTABILIZACIÓN!D162</f>
        <v>16040</v>
      </c>
    </row>
    <row r="7" spans="2:4" ht="30" x14ac:dyDescent="0.25">
      <c r="B7" s="205">
        <v>510536</v>
      </c>
      <c r="C7" s="206" t="s">
        <v>533</v>
      </c>
      <c r="D7" s="214">
        <f>CONTABILIZACIÓN!D163</f>
        <v>108290</v>
      </c>
    </row>
    <row r="8" spans="2:4" x14ac:dyDescent="0.25">
      <c r="B8" s="205">
        <v>510539</v>
      </c>
      <c r="C8" s="206" t="s">
        <v>532</v>
      </c>
      <c r="D8" s="214">
        <f>CONTABILIZACIÓN!D164</f>
        <v>54210</v>
      </c>
    </row>
    <row r="9" spans="2:4" x14ac:dyDescent="0.25">
      <c r="B9" s="205">
        <v>510568</v>
      </c>
      <c r="C9" s="206" t="s">
        <v>529</v>
      </c>
      <c r="D9" s="214">
        <f>CONTABILIZACIÓN!D165</f>
        <v>6786</v>
      </c>
    </row>
    <row r="10" spans="2:4" x14ac:dyDescent="0.25">
      <c r="B10" s="205">
        <v>510569</v>
      </c>
      <c r="C10" s="206" t="s">
        <v>536</v>
      </c>
      <c r="D10" s="214">
        <f>1300000*12.5%</f>
        <v>162500</v>
      </c>
    </row>
    <row r="11" spans="2:4" x14ac:dyDescent="0.25">
      <c r="B11" s="205">
        <v>510570</v>
      </c>
      <c r="C11" s="206" t="s">
        <v>537</v>
      </c>
      <c r="D11" s="214">
        <f>1300000*16%</f>
        <v>208000</v>
      </c>
    </row>
    <row r="12" spans="2:4" x14ac:dyDescent="0.25">
      <c r="B12" s="203"/>
      <c r="C12" s="261" t="s">
        <v>126</v>
      </c>
      <c r="D12" s="262">
        <f>SUM(D3:D11)</f>
        <v>2293439.2000000002</v>
      </c>
    </row>
    <row r="13" spans="2:4" x14ac:dyDescent="0.25">
      <c r="B13" s="205">
        <v>512005</v>
      </c>
      <c r="C13" s="206" t="s">
        <v>625</v>
      </c>
      <c r="D13" s="214">
        <v>500000</v>
      </c>
    </row>
    <row r="14" spans="2:4" ht="30" x14ac:dyDescent="0.25">
      <c r="B14" s="203"/>
      <c r="C14" s="263" t="s">
        <v>626</v>
      </c>
      <c r="D14" s="264">
        <f>D12+D13</f>
        <v>2793439.2</v>
      </c>
    </row>
    <row r="15" spans="2:4" x14ac:dyDescent="0.25">
      <c r="B15" s="2">
        <v>52</v>
      </c>
      <c r="C15" s="2" t="s">
        <v>627</v>
      </c>
      <c r="D15" s="14">
        <v>500000</v>
      </c>
    </row>
    <row r="16" spans="2:4" x14ac:dyDescent="0.25">
      <c r="B16" s="2"/>
      <c r="C16" s="265" t="s">
        <v>628</v>
      </c>
      <c r="D16" s="266">
        <f>D15</f>
        <v>500000</v>
      </c>
    </row>
    <row r="17" spans="2:5" x14ac:dyDescent="0.25">
      <c r="B17">
        <v>53</v>
      </c>
      <c r="C17" t="s">
        <v>563</v>
      </c>
      <c r="D17">
        <v>0</v>
      </c>
    </row>
    <row r="18" spans="2:5" x14ac:dyDescent="0.25">
      <c r="D18" s="267" t="s">
        <v>629</v>
      </c>
      <c r="E18" s="268">
        <f>D14+D16</f>
        <v>3293439.2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62F80-509B-4433-811F-307C2A82801F}">
  <dimension ref="B2:M26"/>
  <sheetViews>
    <sheetView workbookViewId="0"/>
  </sheetViews>
  <sheetFormatPr baseColWidth="10" defaultRowHeight="15" x14ac:dyDescent="0.25"/>
  <cols>
    <col min="2" max="2" width="10" customWidth="1"/>
    <col min="4" max="4" width="19.140625" customWidth="1"/>
    <col min="5" max="5" width="16.5703125" customWidth="1"/>
  </cols>
  <sheetData>
    <row r="2" spans="2:5" x14ac:dyDescent="0.25">
      <c r="B2" s="270">
        <v>71</v>
      </c>
      <c r="C2" s="270" t="s">
        <v>564</v>
      </c>
      <c r="D2" s="271">
        <f>E7</f>
        <v>2700370</v>
      </c>
    </row>
    <row r="3" spans="2:5" ht="41.45" customHeight="1" x14ac:dyDescent="0.25">
      <c r="B3" s="235">
        <v>710101</v>
      </c>
      <c r="C3" s="465" t="s">
        <v>590</v>
      </c>
      <c r="D3" s="466"/>
      <c r="E3" s="269">
        <f>'BALANCE DE COMPROBACIÓN'!C57</f>
        <v>1024555</v>
      </c>
    </row>
    <row r="4" spans="2:5" ht="33" customHeight="1" x14ac:dyDescent="0.25">
      <c r="B4" s="235">
        <v>710102</v>
      </c>
      <c r="C4" s="465" t="s">
        <v>591</v>
      </c>
      <c r="D4" s="466"/>
      <c r="E4" s="269">
        <f>'BALANCE DE COMPROBACIÓN'!C58</f>
        <v>613328</v>
      </c>
    </row>
    <row r="5" spans="2:5" ht="30" customHeight="1" x14ac:dyDescent="0.25">
      <c r="B5" s="235">
        <v>710103</v>
      </c>
      <c r="C5" s="465" t="s">
        <v>592</v>
      </c>
      <c r="D5" s="466"/>
      <c r="E5" s="269">
        <f>'BALANCE DE COMPROBACIÓN'!C59</f>
        <v>257632</v>
      </c>
    </row>
    <row r="6" spans="2:5" ht="32.450000000000003" customHeight="1" x14ac:dyDescent="0.25">
      <c r="B6" s="235">
        <v>710104</v>
      </c>
      <c r="C6" s="465" t="s">
        <v>593</v>
      </c>
      <c r="D6" s="466"/>
      <c r="E6" s="269">
        <f>'BALANCE DE COMPROBACIÓN'!C60</f>
        <v>804855</v>
      </c>
    </row>
    <row r="7" spans="2:5" ht="32.450000000000003" customHeight="1" x14ac:dyDescent="0.3">
      <c r="B7" s="16"/>
      <c r="C7" s="523" t="s">
        <v>630</v>
      </c>
      <c r="D7" s="523"/>
      <c r="E7" s="275">
        <f>E6+E5+E4+E3</f>
        <v>2700370</v>
      </c>
    </row>
    <row r="8" spans="2:5" ht="32.450000000000003" customHeight="1" x14ac:dyDescent="0.3">
      <c r="B8" s="16"/>
      <c r="C8" s="272"/>
      <c r="D8" s="272"/>
      <c r="E8" s="273"/>
    </row>
    <row r="9" spans="2:5" ht="18.75" x14ac:dyDescent="0.3">
      <c r="B9">
        <v>72</v>
      </c>
      <c r="C9" s="522" t="s">
        <v>633</v>
      </c>
      <c r="D9" s="522"/>
      <c r="E9" s="274">
        <f>E19</f>
        <v>2703852</v>
      </c>
    </row>
    <row r="10" spans="2:5" x14ac:dyDescent="0.25">
      <c r="B10" s="2">
        <v>720101</v>
      </c>
      <c r="C10" s="465" t="str">
        <f>'BALANCE DE COMPROBACIÓN'!B61</f>
        <v>COSTO MANO DE OBRA PRODUCIÓN</v>
      </c>
      <c r="D10" s="466"/>
      <c r="E10" s="269">
        <f>'BALANCE DE COMPROBACIÓN'!C61</f>
        <v>1276000</v>
      </c>
    </row>
    <row r="11" spans="2:5" x14ac:dyDescent="0.25">
      <c r="B11" s="2">
        <v>720102</v>
      </c>
      <c r="C11" s="465" t="str">
        <f>'BALANCE DE COMPROBACIÓN'!B62</f>
        <v xml:space="preserve">AUXILIO DE TRANSPORTE </v>
      </c>
      <c r="D11" s="466"/>
      <c r="E11" s="269">
        <f>'BALANCE DE COMPROBACIÓN'!C62</f>
        <v>324000</v>
      </c>
    </row>
    <row r="12" spans="2:5" x14ac:dyDescent="0.25">
      <c r="B12" s="2">
        <v>720103</v>
      </c>
      <c r="C12" s="465" t="str">
        <f>'BALANCE DE COMPROBACIÓN'!B63</f>
        <v xml:space="preserve">CESANTIAS </v>
      </c>
      <c r="D12" s="466"/>
      <c r="E12" s="269">
        <f>'BALANCE DE COMPROBACIÓN'!C63</f>
        <v>133280</v>
      </c>
    </row>
    <row r="13" spans="2:5" x14ac:dyDescent="0.25">
      <c r="B13" s="2">
        <v>720104</v>
      </c>
      <c r="C13" s="465" t="str">
        <f>'BALANCE DE COMPROBACIÓN'!B64</f>
        <v xml:space="preserve">INTERESES DE CESANTIAS </v>
      </c>
      <c r="D13" s="466"/>
      <c r="E13" s="269">
        <f>'BALANCE DE COMPROBACIÓN'!C64</f>
        <v>16000</v>
      </c>
    </row>
    <row r="14" spans="2:5" x14ac:dyDescent="0.25">
      <c r="B14" s="2">
        <v>720105</v>
      </c>
      <c r="C14" s="465" t="str">
        <f>'BALANCE DE COMPROBACIÓN'!B65</f>
        <v xml:space="preserve">PRIMA DE SERVICIOS </v>
      </c>
      <c r="D14" s="466"/>
      <c r="E14" s="269">
        <f>'BALANCE DE COMPROBACIÓN'!C65</f>
        <v>133280</v>
      </c>
    </row>
    <row r="15" spans="2:5" x14ac:dyDescent="0.25">
      <c r="B15" s="2">
        <v>720106</v>
      </c>
      <c r="C15" s="465" t="str">
        <f>'BALANCE DE COMPROBACIÓN'!B66</f>
        <v xml:space="preserve">VACACIONES </v>
      </c>
      <c r="D15" s="466"/>
      <c r="E15" s="269">
        <f>'BALANCE DE COMPROBACIÓN'!C66</f>
        <v>66720</v>
      </c>
    </row>
    <row r="16" spans="2:5" x14ac:dyDescent="0.25">
      <c r="B16" s="2">
        <v>720107</v>
      </c>
      <c r="C16" s="465" t="str">
        <f>'BALANCE DE COMPROBACIÓN'!B67</f>
        <v>ARL</v>
      </c>
      <c r="D16" s="466"/>
      <c r="E16" s="269">
        <f>'BALANCE DE COMPROBACIÓN'!C67</f>
        <v>13572</v>
      </c>
    </row>
    <row r="17" spans="2:13" x14ac:dyDescent="0.25">
      <c r="B17" s="2">
        <v>720108</v>
      </c>
      <c r="C17" s="465" t="str">
        <f>'BALANCE DE COMPROBACIÓN'!B68</f>
        <v xml:space="preserve">APORTE A EPS </v>
      </c>
      <c r="D17" s="466"/>
      <c r="E17" s="269">
        <f>'BALANCE DE COMPROBACIÓN'!C68</f>
        <v>325000</v>
      </c>
    </row>
    <row r="18" spans="2:13" x14ac:dyDescent="0.25">
      <c r="B18" s="2">
        <v>720109</v>
      </c>
      <c r="C18" s="465" t="str">
        <f>'BALANCE DE COMPROBACIÓN'!B69</f>
        <v>APORTE FONDO PENSIÓN</v>
      </c>
      <c r="D18" s="466"/>
      <c r="E18" s="269">
        <f>'BALANCE DE COMPROBACIÓN'!C69</f>
        <v>416000</v>
      </c>
    </row>
    <row r="19" spans="2:13" ht="18.75" x14ac:dyDescent="0.3">
      <c r="C19" s="522" t="s">
        <v>631</v>
      </c>
      <c r="D19" s="522"/>
      <c r="E19" s="276">
        <f>SUM(E10:E18)</f>
        <v>2703852</v>
      </c>
    </row>
    <row r="20" spans="2:13" ht="18.75" x14ac:dyDescent="0.3">
      <c r="C20" s="272"/>
      <c r="D20" s="272"/>
      <c r="E20" s="277"/>
    </row>
    <row r="21" spans="2:13" ht="18.75" x14ac:dyDescent="0.3">
      <c r="B21">
        <v>73</v>
      </c>
      <c r="C21" s="521" t="s">
        <v>632</v>
      </c>
      <c r="D21" s="521"/>
      <c r="E21" s="278">
        <f>SUM(E19:E20)</f>
        <v>2703852</v>
      </c>
    </row>
    <row r="22" spans="2:13" x14ac:dyDescent="0.25">
      <c r="B22" s="2">
        <v>730101</v>
      </c>
      <c r="C22" s="465" t="str">
        <f>'BALANCE DE COMPROBACIÓN'!B70</f>
        <v>COSTO DEPRECIACION</v>
      </c>
      <c r="D22" s="466"/>
      <c r="E22" s="269">
        <f>'BALANCE DE COMPROBACIÓN'!C70</f>
        <v>135673.60084033612</v>
      </c>
    </row>
    <row r="23" spans="2:13" x14ac:dyDescent="0.25">
      <c r="B23" s="2">
        <v>730102</v>
      </c>
      <c r="C23" s="465" t="str">
        <f>'BALANCE DE COMPROBACIÓN'!B71</f>
        <v>COSTO MATENIMIENTO HORNO</v>
      </c>
      <c r="D23" s="466"/>
      <c r="E23" s="269">
        <f>'BALANCE DE COMPROBACIÓN'!C71</f>
        <v>1200000</v>
      </c>
    </row>
    <row r="24" spans="2:13" ht="18.75" x14ac:dyDescent="0.3">
      <c r="C24" s="521" t="s">
        <v>41</v>
      </c>
      <c r="D24" s="521"/>
      <c r="E24" s="278">
        <f>SUM(E22:E23)</f>
        <v>1335673.6008403362</v>
      </c>
      <c r="M24" s="236"/>
    </row>
    <row r="26" spans="2:13" ht="18.75" x14ac:dyDescent="0.3">
      <c r="C26" s="279" t="s">
        <v>634</v>
      </c>
      <c r="D26" s="279"/>
      <c r="E26" s="280">
        <f>E24+E19+I21</f>
        <v>4039525.6008403362</v>
      </c>
    </row>
  </sheetData>
  <mergeCells count="20">
    <mergeCell ref="C14:D14"/>
    <mergeCell ref="C15:D15"/>
    <mergeCell ref="C3:D3"/>
    <mergeCell ref="C4:D4"/>
    <mergeCell ref="C5:D5"/>
    <mergeCell ref="C6:D6"/>
    <mergeCell ref="C7:D7"/>
    <mergeCell ref="C9:D9"/>
    <mergeCell ref="C10:D10"/>
    <mergeCell ref="C11:D11"/>
    <mergeCell ref="C12:D12"/>
    <mergeCell ref="C13:D13"/>
    <mergeCell ref="C22:D22"/>
    <mergeCell ref="C23:D23"/>
    <mergeCell ref="C24:D24"/>
    <mergeCell ref="C21:D21"/>
    <mergeCell ref="C16:D16"/>
    <mergeCell ref="C17:D17"/>
    <mergeCell ref="C18:D18"/>
    <mergeCell ref="C19:D1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A31A1-5741-4459-9BB4-08373169B3C3}">
  <dimension ref="A1:Q40"/>
  <sheetViews>
    <sheetView zoomScale="66" zoomScaleNormal="66" workbookViewId="0"/>
  </sheetViews>
  <sheetFormatPr baseColWidth="10" defaultRowHeight="15" x14ac:dyDescent="0.25"/>
  <cols>
    <col min="1" max="1" width="31.42578125" customWidth="1"/>
    <col min="2" max="2" width="25" customWidth="1"/>
    <col min="3" max="3" width="23.42578125" customWidth="1"/>
    <col min="4" max="4" width="26.42578125" customWidth="1"/>
    <col min="5" max="5" width="20.7109375" customWidth="1"/>
    <col min="6" max="6" width="17.28515625" customWidth="1"/>
    <col min="7" max="7" width="11.7109375" customWidth="1"/>
    <col min="8" max="8" width="19.28515625" customWidth="1"/>
    <col min="9" max="9" width="28.5703125" customWidth="1"/>
    <col min="10" max="10" width="23.7109375" customWidth="1"/>
    <col min="11" max="11" width="19" customWidth="1"/>
    <col min="12" max="12" width="21.140625" customWidth="1"/>
    <col min="13" max="13" width="19.85546875" customWidth="1"/>
    <col min="14" max="14" width="19.7109375" customWidth="1"/>
    <col min="15" max="15" width="20.5703125" customWidth="1"/>
    <col min="16" max="16" width="23.28515625" customWidth="1"/>
    <col min="17" max="17" width="22.85546875" customWidth="1"/>
  </cols>
  <sheetData>
    <row r="1" spans="1:17" ht="15.75" thickBot="1" x14ac:dyDescent="0.3">
      <c r="A1" s="361" t="s">
        <v>727</v>
      </c>
      <c r="B1" s="362" t="s">
        <v>711</v>
      </c>
      <c r="C1" s="362" t="s">
        <v>728</v>
      </c>
      <c r="D1" s="362" t="s">
        <v>729</v>
      </c>
      <c r="E1" s="362" t="s">
        <v>730</v>
      </c>
      <c r="F1" s="362" t="s">
        <v>712</v>
      </c>
      <c r="G1" s="362" t="s">
        <v>731</v>
      </c>
      <c r="H1" s="362" t="s">
        <v>732</v>
      </c>
      <c r="I1" s="362" t="s">
        <v>565</v>
      </c>
      <c r="J1" s="362" t="s">
        <v>713</v>
      </c>
      <c r="K1" s="362" t="s">
        <v>733</v>
      </c>
      <c r="L1" s="363" t="s">
        <v>714</v>
      </c>
    </row>
    <row r="2" spans="1:17" x14ac:dyDescent="0.25">
      <c r="A2" s="364" t="s">
        <v>708</v>
      </c>
      <c r="B2" s="358">
        <v>800</v>
      </c>
      <c r="C2" s="359">
        <v>128069</v>
      </c>
      <c r="D2" s="358">
        <v>10</v>
      </c>
      <c r="E2" s="359">
        <v>1600000</v>
      </c>
      <c r="F2" s="360">
        <f>E2/36</f>
        <v>44444.444444444445</v>
      </c>
      <c r="G2" s="360">
        <f>(F2/D2)*2</f>
        <v>8888.8888888888887</v>
      </c>
      <c r="H2" s="360">
        <f>G2*D2</f>
        <v>88888.888888888891</v>
      </c>
      <c r="I2" s="360">
        <f>H2+C2</f>
        <v>216957.88888888888</v>
      </c>
      <c r="J2" s="360">
        <f>I2/B2</f>
        <v>271.19736111111109</v>
      </c>
      <c r="K2" s="360">
        <f>J2*0.45</f>
        <v>122.03881249999999</v>
      </c>
      <c r="L2" s="365">
        <f>J2+K2</f>
        <v>393.2361736111111</v>
      </c>
    </row>
    <row r="3" spans="1:17" x14ac:dyDescent="0.25">
      <c r="A3" s="5" t="s">
        <v>709</v>
      </c>
      <c r="B3" s="2">
        <v>400</v>
      </c>
      <c r="C3" s="14">
        <v>76666</v>
      </c>
      <c r="D3" s="2">
        <v>8</v>
      </c>
      <c r="E3" s="14">
        <v>1600000</v>
      </c>
      <c r="F3" s="15">
        <f t="shared" ref="F3:F5" si="0">E3/36</f>
        <v>44444.444444444445</v>
      </c>
      <c r="G3" s="15">
        <f>(F3/D3)*2</f>
        <v>11111.111111111111</v>
      </c>
      <c r="H3" s="15">
        <f>G3*D3</f>
        <v>88888.888888888891</v>
      </c>
      <c r="I3" s="15">
        <f t="shared" ref="I3" si="1">H3+C3</f>
        <v>165554.88888888888</v>
      </c>
      <c r="J3" s="15">
        <f>I3/B3</f>
        <v>413.88722222222219</v>
      </c>
      <c r="K3" s="15">
        <f t="shared" ref="K3:K5" si="2">J3*0.45</f>
        <v>186.24924999999999</v>
      </c>
      <c r="L3" s="366">
        <f t="shared" ref="L3:L5" si="3">J3+K3</f>
        <v>600.13647222222221</v>
      </c>
    </row>
    <row r="4" spans="1:17" x14ac:dyDescent="0.25">
      <c r="A4" s="5" t="s">
        <v>726</v>
      </c>
      <c r="B4" s="2">
        <v>400</v>
      </c>
      <c r="C4" s="14">
        <v>64408</v>
      </c>
      <c r="D4" s="2">
        <v>4</v>
      </c>
      <c r="E4" s="14">
        <v>1600000</v>
      </c>
      <c r="F4" s="15">
        <f t="shared" si="0"/>
        <v>44444.444444444445</v>
      </c>
      <c r="G4" s="15">
        <f>(F4/D4)*2</f>
        <v>22222.222222222223</v>
      </c>
      <c r="H4" s="15">
        <f>G4*D4</f>
        <v>88888.888888888891</v>
      </c>
      <c r="I4" s="15">
        <f>H4+C4</f>
        <v>153296.88888888888</v>
      </c>
      <c r="J4" s="15">
        <f>I4/B4</f>
        <v>383.24222222222221</v>
      </c>
      <c r="K4" s="15">
        <f t="shared" si="2"/>
        <v>172.459</v>
      </c>
      <c r="L4" s="366">
        <f t="shared" si="3"/>
        <v>555.70122222222221</v>
      </c>
    </row>
    <row r="5" spans="1:17" x14ac:dyDescent="0.25">
      <c r="A5" s="5" t="s">
        <v>710</v>
      </c>
      <c r="B5" s="2">
        <v>12</v>
      </c>
      <c r="C5" s="14">
        <v>35925</v>
      </c>
      <c r="D5" s="2">
        <v>7</v>
      </c>
      <c r="E5" s="14">
        <v>1600000</v>
      </c>
      <c r="F5" s="15">
        <f t="shared" si="0"/>
        <v>44444.444444444445</v>
      </c>
      <c r="G5" s="15">
        <f>(F5/D5)*2</f>
        <v>12698.412698412698</v>
      </c>
      <c r="H5" s="15">
        <f>G5*D5</f>
        <v>88888.888888888891</v>
      </c>
      <c r="I5" s="15">
        <f>H5+C5</f>
        <v>124813.88888888889</v>
      </c>
      <c r="J5" s="15">
        <f>I5/B5</f>
        <v>10401.157407407407</v>
      </c>
      <c r="K5" s="15">
        <f t="shared" si="2"/>
        <v>4680.520833333333</v>
      </c>
      <c r="L5" s="366">
        <f t="shared" si="3"/>
        <v>15081.678240740741</v>
      </c>
    </row>
    <row r="7" spans="1:17" ht="15.75" thickBot="1" x14ac:dyDescent="0.3"/>
    <row r="8" spans="1:17" ht="15.75" thickBot="1" x14ac:dyDescent="0.3">
      <c r="A8" s="524" t="s">
        <v>723</v>
      </c>
      <c r="B8" s="525"/>
      <c r="C8" s="525"/>
      <c r="D8" s="525"/>
      <c r="E8" s="526"/>
      <c r="M8" s="524" t="s">
        <v>734</v>
      </c>
      <c r="N8" s="525"/>
      <c r="O8" s="525"/>
      <c r="P8" s="525"/>
      <c r="Q8" s="526"/>
    </row>
    <row r="9" spans="1:17" x14ac:dyDescent="0.25">
      <c r="A9" s="303"/>
      <c r="E9" s="304"/>
      <c r="M9" s="303"/>
      <c r="Q9" s="304"/>
    </row>
    <row r="10" spans="1:17" ht="15.75" thickBot="1" x14ac:dyDescent="0.3">
      <c r="A10" s="367" t="s">
        <v>566</v>
      </c>
      <c r="B10" s="356" t="s">
        <v>715</v>
      </c>
      <c r="C10" s="354"/>
      <c r="E10" s="368" t="s">
        <v>717</v>
      </c>
      <c r="M10" s="367" t="s">
        <v>566</v>
      </c>
      <c r="N10" s="356" t="s">
        <v>715</v>
      </c>
      <c r="O10" s="354"/>
      <c r="Q10" s="368" t="s">
        <v>717</v>
      </c>
    </row>
    <row r="11" spans="1:17" ht="15.75" thickBot="1" x14ac:dyDescent="0.3">
      <c r="A11" s="369"/>
      <c r="B11" s="354" t="s">
        <v>716</v>
      </c>
      <c r="C11" s="354"/>
      <c r="E11" s="370">
        <f>C13*L2</f>
        <v>10612192.977777777</v>
      </c>
      <c r="M11" s="369"/>
      <c r="N11" s="354" t="s">
        <v>716</v>
      </c>
      <c r="O11" s="354"/>
      <c r="Q11" s="370">
        <f>O13*L4</f>
        <v>10612192.977777777</v>
      </c>
    </row>
    <row r="12" spans="1:17" ht="15.75" thickBot="1" x14ac:dyDescent="0.3">
      <c r="A12" s="303"/>
      <c r="E12" s="304"/>
      <c r="M12" s="303"/>
      <c r="Q12" s="304"/>
    </row>
    <row r="13" spans="1:17" ht="15.75" thickBot="1" x14ac:dyDescent="0.3">
      <c r="A13" s="375" t="s">
        <v>725</v>
      </c>
      <c r="B13" s="357">
        <f>GASTOS!E18</f>
        <v>3293439.2</v>
      </c>
      <c r="C13" s="371">
        <f>B13/B14</f>
        <v>26986.817820765013</v>
      </c>
      <c r="D13" s="372" t="s">
        <v>565</v>
      </c>
      <c r="E13" s="373">
        <f>C13*J2</f>
        <v>7318753.7777777771</v>
      </c>
      <c r="M13" s="375" t="s">
        <v>725</v>
      </c>
      <c r="N13" s="357">
        <f>B13</f>
        <v>3293439.2</v>
      </c>
      <c r="O13" s="371">
        <f>N13/N14</f>
        <v>19096.94014229469</v>
      </c>
      <c r="P13" s="372" t="s">
        <v>565</v>
      </c>
      <c r="Q13" s="373">
        <f>O13*J4</f>
        <v>7318753.777777778</v>
      </c>
    </row>
    <row r="14" spans="1:17" ht="15.75" thickBot="1" x14ac:dyDescent="0.3">
      <c r="A14" s="303"/>
      <c r="B14" s="12">
        <f>(L2-J2)</f>
        <v>122.03881250000001</v>
      </c>
      <c r="D14" s="372" t="s">
        <v>718</v>
      </c>
      <c r="E14" s="374">
        <f>B13</f>
        <v>3293439.2</v>
      </c>
      <c r="M14" s="303"/>
      <c r="N14" s="12">
        <f>L4-J4</f>
        <v>172.459</v>
      </c>
      <c r="P14" s="372" t="s">
        <v>718</v>
      </c>
      <c r="Q14" s="374">
        <f>B13</f>
        <v>3293439.2</v>
      </c>
    </row>
    <row r="15" spans="1:17" ht="15.75" thickBot="1" x14ac:dyDescent="0.3">
      <c r="A15" s="227"/>
      <c r="B15" s="305"/>
      <c r="C15" s="305"/>
      <c r="D15" s="305"/>
      <c r="E15" s="374">
        <f>E14+E13</f>
        <v>10612192.977777777</v>
      </c>
      <c r="M15" s="227"/>
      <c r="N15" s="305"/>
      <c r="O15" s="305"/>
      <c r="P15" s="305"/>
      <c r="Q15" s="374">
        <f>Q13+Q14</f>
        <v>10612192.977777779</v>
      </c>
    </row>
    <row r="16" spans="1:17" ht="15.75" thickBot="1" x14ac:dyDescent="0.3"/>
    <row r="17" spans="1:17" ht="15.75" thickBot="1" x14ac:dyDescent="0.3">
      <c r="A17" s="527" t="s">
        <v>723</v>
      </c>
      <c r="B17" s="528"/>
      <c r="C17" s="528"/>
      <c r="D17" s="529"/>
      <c r="M17" s="527" t="s">
        <v>734</v>
      </c>
      <c r="N17" s="528"/>
      <c r="O17" s="528"/>
      <c r="P17" s="529"/>
    </row>
    <row r="18" spans="1:17" x14ac:dyDescent="0.25">
      <c r="A18" s="381" t="s">
        <v>719</v>
      </c>
      <c r="B18" s="382" t="s">
        <v>720</v>
      </c>
      <c r="C18" s="382" t="s">
        <v>721</v>
      </c>
      <c r="D18" s="383" t="s">
        <v>722</v>
      </c>
      <c r="M18" s="381" t="s">
        <v>719</v>
      </c>
      <c r="N18" s="382" t="s">
        <v>720</v>
      </c>
      <c r="O18" s="382" t="s">
        <v>721</v>
      </c>
      <c r="P18" s="383" t="s">
        <v>722</v>
      </c>
    </row>
    <row r="19" spans="1:17" x14ac:dyDescent="0.25">
      <c r="A19" s="377">
        <v>0</v>
      </c>
      <c r="B19" s="366">
        <f>(A19*L2)</f>
        <v>0</v>
      </c>
      <c r="C19" s="366">
        <f>(A19*J2)+B13</f>
        <v>3293439.2</v>
      </c>
      <c r="D19" s="378">
        <f>B19-C19</f>
        <v>-3293439.2</v>
      </c>
      <c r="M19" s="377">
        <v>0</v>
      </c>
      <c r="N19" s="366">
        <f>(M19*S2)</f>
        <v>0</v>
      </c>
      <c r="O19" s="366">
        <f>(M19*J4)+N13</f>
        <v>3293439.2</v>
      </c>
      <c r="P19" s="378">
        <f>N19-O19</f>
        <v>-3293439.2</v>
      </c>
    </row>
    <row r="20" spans="1:17" x14ac:dyDescent="0.25">
      <c r="A20" s="379">
        <f>A21/2</f>
        <v>13493.408910382506</v>
      </c>
      <c r="B20" s="14">
        <f>A20*L2</f>
        <v>5306096.4888888886</v>
      </c>
      <c r="C20" s="376">
        <f>(A20*J2)+B13</f>
        <v>6952816.0888888892</v>
      </c>
      <c r="D20" s="378">
        <f>B20-C20</f>
        <v>-1646719.6000000006</v>
      </c>
      <c r="M20" s="379">
        <f>M21/2</f>
        <v>9548.4700711473452</v>
      </c>
      <c r="N20" s="14">
        <f>M20*L4</f>
        <v>5306096.4888888886</v>
      </c>
      <c r="O20" s="14">
        <f>(M20*J4)+N13</f>
        <v>6952816.0888888892</v>
      </c>
      <c r="P20" s="14">
        <f>N20-O20</f>
        <v>-1646719.6000000006</v>
      </c>
    </row>
    <row r="21" spans="1:17" x14ac:dyDescent="0.25">
      <c r="A21" s="379">
        <f>C13</f>
        <v>26986.817820765013</v>
      </c>
      <c r="B21" s="14">
        <f>A21*L2</f>
        <v>10612192.977777777</v>
      </c>
      <c r="C21" s="376">
        <f>(A21*J2)+B13</f>
        <v>10612192.977777777</v>
      </c>
      <c r="D21" s="378">
        <f>B21-C21</f>
        <v>0</v>
      </c>
      <c r="M21" s="379">
        <f>O13</f>
        <v>19096.94014229469</v>
      </c>
      <c r="N21" s="14">
        <f>M21*L$4</f>
        <v>10612192.977777777</v>
      </c>
      <c r="O21" s="376">
        <f>M21*J4+N13</f>
        <v>10612192.977777779</v>
      </c>
      <c r="P21" s="378">
        <f>N21-O21</f>
        <v>0</v>
      </c>
    </row>
    <row r="22" spans="1:17" x14ac:dyDescent="0.25">
      <c r="A22" s="379">
        <f>A20*3</f>
        <v>40480.226731147515</v>
      </c>
      <c r="B22" s="14">
        <f>A22*L2</f>
        <v>15918289.466666665</v>
      </c>
      <c r="C22" s="376">
        <f>(A22*J2)+B13</f>
        <v>14271569.866666663</v>
      </c>
      <c r="D22" s="378">
        <f>B22-C22</f>
        <v>1646719.6000000015</v>
      </c>
      <c r="M22" s="379">
        <f>M20*3</f>
        <v>28645.410213442035</v>
      </c>
      <c r="N22" s="14">
        <f>M22*L$4</f>
        <v>15918289.466666667</v>
      </c>
      <c r="O22" s="376">
        <f>M22*J4+N13</f>
        <v>14271569.866666667</v>
      </c>
      <c r="P22" s="378">
        <f>N22-O22</f>
        <v>1646719.5999999996</v>
      </c>
    </row>
    <row r="23" spans="1:17" ht="15.75" thickBot="1" x14ac:dyDescent="0.3">
      <c r="A23" s="380">
        <f>A20*4</f>
        <v>53973.635641530025</v>
      </c>
      <c r="B23" s="386">
        <f>A23*L2</f>
        <v>21224385.955555554</v>
      </c>
      <c r="C23" s="384">
        <f>(A23*J2)+B13</f>
        <v>17930946.755555555</v>
      </c>
      <c r="D23" s="385">
        <f>B23-C23</f>
        <v>3293439.1999999993</v>
      </c>
      <c r="M23" s="380">
        <f>M20*4</f>
        <v>38193.880284589381</v>
      </c>
      <c r="N23" s="14">
        <f>M23*L$4</f>
        <v>21224385.955555554</v>
      </c>
      <c r="O23" s="384">
        <f>M23*J4+N13</f>
        <v>17930946.755555555</v>
      </c>
      <c r="P23" s="385">
        <f>N23-O23</f>
        <v>3293439.1999999993</v>
      </c>
    </row>
    <row r="24" spans="1:17" ht="15.75" thickBot="1" x14ac:dyDescent="0.3"/>
    <row r="25" spans="1:17" ht="15.75" thickBot="1" x14ac:dyDescent="0.3">
      <c r="A25" s="524" t="s">
        <v>724</v>
      </c>
      <c r="B25" s="525"/>
      <c r="C25" s="525"/>
      <c r="D25" s="525"/>
      <c r="E25" s="526"/>
      <c r="M25" s="524" t="s">
        <v>53</v>
      </c>
      <c r="N25" s="525"/>
      <c r="O25" s="525"/>
      <c r="P25" s="525"/>
      <c r="Q25" s="526"/>
    </row>
    <row r="26" spans="1:17" x14ac:dyDescent="0.25">
      <c r="A26" s="303"/>
      <c r="E26" s="304"/>
      <c r="M26" s="303"/>
      <c r="Q26" s="304"/>
    </row>
    <row r="27" spans="1:17" ht="15.75" thickBot="1" x14ac:dyDescent="0.3">
      <c r="A27" s="367" t="s">
        <v>566</v>
      </c>
      <c r="B27" s="356" t="s">
        <v>715</v>
      </c>
      <c r="C27" s="354"/>
      <c r="E27" s="368" t="s">
        <v>717</v>
      </c>
      <c r="M27" s="367" t="s">
        <v>566</v>
      </c>
      <c r="N27" s="356" t="s">
        <v>715</v>
      </c>
      <c r="O27" s="354"/>
      <c r="Q27" s="368" t="s">
        <v>717</v>
      </c>
    </row>
    <row r="28" spans="1:17" ht="15.75" thickBot="1" x14ac:dyDescent="0.3">
      <c r="A28" s="369"/>
      <c r="B28" s="354" t="s">
        <v>716</v>
      </c>
      <c r="C28" s="354"/>
      <c r="E28" s="370">
        <f>C30*L3</f>
        <v>10612192.977777777</v>
      </c>
      <c r="M28" s="369"/>
      <c r="N28" s="354" t="s">
        <v>716</v>
      </c>
      <c r="O28" s="354"/>
      <c r="Q28" s="370">
        <f>O30*L5</f>
        <v>10612192.977777777</v>
      </c>
    </row>
    <row r="29" spans="1:17" ht="15.75" thickBot="1" x14ac:dyDescent="0.3">
      <c r="A29" s="303"/>
      <c r="E29" s="304"/>
      <c r="M29" s="303"/>
      <c r="Q29" s="304"/>
    </row>
    <row r="30" spans="1:17" ht="15.75" thickBot="1" x14ac:dyDescent="0.3">
      <c r="A30" s="375" t="s">
        <v>725</v>
      </c>
      <c r="B30" s="357">
        <f>B13</f>
        <v>3293439.2</v>
      </c>
      <c r="C30" s="371">
        <f>B30/B31</f>
        <v>17682.966240132511</v>
      </c>
      <c r="D30" s="372" t="s">
        <v>565</v>
      </c>
      <c r="E30" s="373">
        <f>C30*J3</f>
        <v>7318753.777777778</v>
      </c>
      <c r="M30" s="375" t="s">
        <v>725</v>
      </c>
      <c r="N30" s="357">
        <f>B30</f>
        <v>3293439.2</v>
      </c>
      <c r="O30" s="371">
        <f>N30/N31</f>
        <v>703.64801637994344</v>
      </c>
      <c r="P30" s="372" t="s">
        <v>565</v>
      </c>
      <c r="Q30" s="373">
        <f>O30*J5</f>
        <v>7318753.7777777771</v>
      </c>
    </row>
    <row r="31" spans="1:17" ht="15.75" thickBot="1" x14ac:dyDescent="0.3">
      <c r="A31" s="303"/>
      <c r="B31" s="12">
        <f>(L3-J3)</f>
        <v>186.24925000000002</v>
      </c>
      <c r="D31" s="372" t="s">
        <v>718</v>
      </c>
      <c r="E31" s="374">
        <f>B13</f>
        <v>3293439.2</v>
      </c>
      <c r="M31" s="303"/>
      <c r="N31" s="12">
        <f>L5-J5</f>
        <v>4680.5208333333339</v>
      </c>
      <c r="P31" s="372" t="s">
        <v>718</v>
      </c>
      <c r="Q31" s="374">
        <f>N30</f>
        <v>3293439.2</v>
      </c>
    </row>
    <row r="32" spans="1:17" ht="15.75" thickBot="1" x14ac:dyDescent="0.3">
      <c r="A32" s="227"/>
      <c r="B32" s="305"/>
      <c r="C32" s="305"/>
      <c r="D32" s="305"/>
      <c r="E32" s="374">
        <f>E31+E30</f>
        <v>10612192.977777779</v>
      </c>
      <c r="M32" s="227"/>
      <c r="N32" s="305"/>
      <c r="O32" s="305"/>
      <c r="P32" s="305"/>
      <c r="Q32" s="374">
        <f>Q30+Q31</f>
        <v>10612192.977777777</v>
      </c>
    </row>
    <row r="33" spans="1:16" ht="15.75" thickBot="1" x14ac:dyDescent="0.3"/>
    <row r="34" spans="1:16" ht="15.75" thickBot="1" x14ac:dyDescent="0.3">
      <c r="A34" s="527" t="s">
        <v>724</v>
      </c>
      <c r="B34" s="528"/>
      <c r="C34" s="528"/>
      <c r="D34" s="529"/>
      <c r="M34" s="527" t="s">
        <v>53</v>
      </c>
      <c r="N34" s="528"/>
      <c r="O34" s="528"/>
      <c r="P34" s="529"/>
    </row>
    <row r="35" spans="1:16" x14ac:dyDescent="0.25">
      <c r="A35" s="381" t="s">
        <v>719</v>
      </c>
      <c r="B35" s="382" t="s">
        <v>720</v>
      </c>
      <c r="C35" s="382" t="s">
        <v>721</v>
      </c>
      <c r="D35" s="383" t="s">
        <v>722</v>
      </c>
      <c r="M35" s="381" t="s">
        <v>719</v>
      </c>
      <c r="N35" s="382" t="s">
        <v>720</v>
      </c>
      <c r="O35" s="382" t="s">
        <v>721</v>
      </c>
      <c r="P35" s="383" t="s">
        <v>722</v>
      </c>
    </row>
    <row r="36" spans="1:16" x14ac:dyDescent="0.25">
      <c r="A36" s="377">
        <v>0</v>
      </c>
      <c r="B36" s="366">
        <f>(A36*L3)</f>
        <v>0</v>
      </c>
      <c r="C36" s="366">
        <f>(A36*J3)+B30</f>
        <v>3293439.2</v>
      </c>
      <c r="D36" s="378">
        <f>B36-C36</f>
        <v>-3293439.2</v>
      </c>
      <c r="M36" s="377">
        <v>0</v>
      </c>
      <c r="N36" s="366">
        <f>M36*L5</f>
        <v>0</v>
      </c>
      <c r="O36" s="366">
        <f>(M36*J5)+N30</f>
        <v>3293439.2</v>
      </c>
      <c r="P36" s="378">
        <f>N36-O36</f>
        <v>-3293439.2</v>
      </c>
    </row>
    <row r="37" spans="1:16" x14ac:dyDescent="0.25">
      <c r="A37" s="379">
        <f>A38/2</f>
        <v>8841.4831200662557</v>
      </c>
      <c r="B37" s="14">
        <f>A37*L3</f>
        <v>5306096.4888888886</v>
      </c>
      <c r="C37" s="376">
        <f>(A37*J$3)+B30</f>
        <v>6952816.0888888892</v>
      </c>
      <c r="D37" s="378">
        <f>B37-C37</f>
        <v>-1646719.6000000006</v>
      </c>
      <c r="M37" s="379">
        <f>M38/2</f>
        <v>351.82400818997172</v>
      </c>
      <c r="N37" s="14">
        <f>M37*L$5</f>
        <v>5306096.4888888886</v>
      </c>
      <c r="O37" s="376">
        <f>(M37*J5)+N30</f>
        <v>6952816.0888888892</v>
      </c>
      <c r="P37" s="378">
        <f>N37-O37</f>
        <v>-1646719.6000000006</v>
      </c>
    </row>
    <row r="38" spans="1:16" x14ac:dyDescent="0.25">
      <c r="A38" s="379">
        <f>C30</f>
        <v>17682.966240132511</v>
      </c>
      <c r="B38" s="14">
        <f>A38*L$3</f>
        <v>10612192.977777777</v>
      </c>
      <c r="C38" s="14">
        <f>(A38*J3)+B30</f>
        <v>10612192.977777779</v>
      </c>
      <c r="D38" s="14">
        <f t="shared" ref="D38" si="4">C38*N$3</f>
        <v>0</v>
      </c>
      <c r="M38" s="379">
        <f>O30</f>
        <v>703.64801637994344</v>
      </c>
      <c r="N38" s="14">
        <f>M38*L$5</f>
        <v>10612192.977777777</v>
      </c>
      <c r="O38" s="14">
        <f>M38*J5+N30</f>
        <v>10612192.977777777</v>
      </c>
      <c r="P38" s="14">
        <f>O38*U$3</f>
        <v>0</v>
      </c>
    </row>
    <row r="39" spans="1:16" x14ac:dyDescent="0.25">
      <c r="A39" s="379">
        <f>A37*3</f>
        <v>26524.449360198767</v>
      </c>
      <c r="B39" s="14">
        <f>A39*L3</f>
        <v>15918289.466666667</v>
      </c>
      <c r="C39" s="14">
        <f>(A39*J3)+B30</f>
        <v>14271569.866666667</v>
      </c>
      <c r="D39" s="14">
        <f>B39-C39</f>
        <v>1646719.5999999996</v>
      </c>
      <c r="M39" s="379">
        <f>M37*3</f>
        <v>1055.4720245699152</v>
      </c>
      <c r="N39" s="14">
        <f>M39*L$5</f>
        <v>15918289.466666667</v>
      </c>
      <c r="O39" s="14">
        <f>M39*J5+N30</f>
        <v>14271569.866666667</v>
      </c>
      <c r="P39" s="14">
        <f>N39-O39</f>
        <v>1646719.5999999996</v>
      </c>
    </row>
    <row r="40" spans="1:16" ht="15.75" thickBot="1" x14ac:dyDescent="0.3">
      <c r="A40" s="380">
        <f>A37*4</f>
        <v>35365.932480265023</v>
      </c>
      <c r="B40" s="386">
        <f>A40*L3</f>
        <v>21224385.955555554</v>
      </c>
      <c r="C40" s="384">
        <f>(A40*J3)+B30</f>
        <v>17930946.755555555</v>
      </c>
      <c r="D40" s="385">
        <f>B40-C40</f>
        <v>3293439.1999999993</v>
      </c>
      <c r="M40" s="380">
        <f>M37*4</f>
        <v>1407.2960327598869</v>
      </c>
      <c r="N40" s="14">
        <f>M40*L$5</f>
        <v>21224385.955555554</v>
      </c>
      <c r="O40" s="384">
        <f>(M40*J5)+N30</f>
        <v>17930946.755555555</v>
      </c>
      <c r="P40" s="385">
        <f>N40-O40</f>
        <v>3293439.1999999993</v>
      </c>
    </row>
  </sheetData>
  <mergeCells count="8">
    <mergeCell ref="A8:E8"/>
    <mergeCell ref="A17:D17"/>
    <mergeCell ref="A25:E25"/>
    <mergeCell ref="A34:D34"/>
    <mergeCell ref="M8:Q8"/>
    <mergeCell ref="M17:P17"/>
    <mergeCell ref="M25:Q25"/>
    <mergeCell ref="M34:P3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E86CD-61B2-4332-BD8F-6BC22DB1DD4D}">
  <dimension ref="A1:K21"/>
  <sheetViews>
    <sheetView topLeftCell="A2" zoomScaleNormal="100" workbookViewId="0">
      <selection activeCell="H17" sqref="H17"/>
    </sheetView>
  </sheetViews>
  <sheetFormatPr baseColWidth="10" defaultRowHeight="15" x14ac:dyDescent="0.25"/>
  <cols>
    <col min="1" max="1" width="12.28515625" customWidth="1"/>
    <col min="3" max="3" width="17.140625" customWidth="1"/>
    <col min="5" max="5" width="13" bestFit="1" customWidth="1"/>
    <col min="6" max="6" width="21.7109375" customWidth="1"/>
    <col min="7" max="7" width="14.7109375" customWidth="1"/>
    <col min="8" max="8" width="21.42578125" customWidth="1"/>
    <col min="9" max="9" width="19.85546875" customWidth="1"/>
    <col min="10" max="10" width="13.140625" customWidth="1"/>
  </cols>
  <sheetData>
    <row r="1" spans="1:8" x14ac:dyDescent="0.25">
      <c r="A1" s="471"/>
      <c r="B1" s="471"/>
    </row>
    <row r="2" spans="1:8" x14ac:dyDescent="0.25">
      <c r="A2" s="471"/>
      <c r="B2" s="471"/>
    </row>
    <row r="4" spans="1:8" x14ac:dyDescent="0.25">
      <c r="B4" s="111"/>
      <c r="C4" s="38"/>
      <c r="F4" s="530" t="s">
        <v>388</v>
      </c>
      <c r="G4" s="530"/>
    </row>
    <row r="5" spans="1:8" x14ac:dyDescent="0.25">
      <c r="B5" s="111"/>
      <c r="C5" s="38"/>
      <c r="F5" s="173" t="s">
        <v>389</v>
      </c>
      <c r="G5" s="173">
        <v>30</v>
      </c>
    </row>
    <row r="6" spans="1:8" x14ac:dyDescent="0.25">
      <c r="A6" s="37"/>
      <c r="B6" s="174"/>
      <c r="C6" s="38"/>
      <c r="F6" s="173" t="s">
        <v>390</v>
      </c>
      <c r="G6" s="173">
        <v>4</v>
      </c>
    </row>
    <row r="7" spans="1:8" x14ac:dyDescent="0.25">
      <c r="A7" s="481" t="s">
        <v>391</v>
      </c>
      <c r="B7" s="481"/>
      <c r="C7" s="16"/>
      <c r="F7" s="173" t="s">
        <v>392</v>
      </c>
      <c r="G7" s="173">
        <v>4</v>
      </c>
    </row>
    <row r="8" spans="1:8" x14ac:dyDescent="0.25">
      <c r="A8" s="175" t="s">
        <v>1</v>
      </c>
      <c r="B8" s="175" t="s">
        <v>218</v>
      </c>
      <c r="F8" s="173" t="s">
        <v>393</v>
      </c>
      <c r="G8" s="173">
        <v>4</v>
      </c>
    </row>
    <row r="9" spans="1:8" x14ac:dyDescent="0.25">
      <c r="A9" s="2" t="s">
        <v>394</v>
      </c>
      <c r="B9" s="14">
        <v>800000</v>
      </c>
      <c r="C9" s="38"/>
      <c r="F9" s="173" t="s">
        <v>395</v>
      </c>
      <c r="G9" s="176">
        <f>G5-G6-G7-G8</f>
        <v>18</v>
      </c>
      <c r="H9" s="145" t="s">
        <v>396</v>
      </c>
    </row>
    <row r="10" spans="1:8" x14ac:dyDescent="0.25">
      <c r="A10" s="2" t="s">
        <v>397</v>
      </c>
      <c r="B10" s="14">
        <v>800000</v>
      </c>
      <c r="C10" s="38"/>
    </row>
    <row r="12" spans="1:8" ht="30" x14ac:dyDescent="0.25">
      <c r="A12" s="4" t="s">
        <v>398</v>
      </c>
      <c r="B12" s="177" t="s">
        <v>399</v>
      </c>
      <c r="C12" s="4" t="s">
        <v>400</v>
      </c>
      <c r="D12" s="5" t="s">
        <v>401</v>
      </c>
      <c r="E12" s="5" t="s">
        <v>402</v>
      </c>
    </row>
    <row r="13" spans="1:8" x14ac:dyDescent="0.25">
      <c r="A13" s="175" t="s">
        <v>404</v>
      </c>
      <c r="B13" s="15">
        <f>B9/G9</f>
        <v>44444.444444444445</v>
      </c>
      <c r="C13" s="15">
        <f>((B13*18)*8%)</f>
        <v>64000</v>
      </c>
      <c r="D13" s="15">
        <f>B13*18</f>
        <v>800000</v>
      </c>
      <c r="E13" s="15">
        <f>D13</f>
        <v>800000</v>
      </c>
    </row>
    <row r="14" spans="1:8" x14ac:dyDescent="0.25">
      <c r="A14" s="175" t="s">
        <v>405</v>
      </c>
      <c r="B14" s="15">
        <f>B10/G9</f>
        <v>44444.444444444445</v>
      </c>
      <c r="C14" s="15">
        <f>((B14*18)*8%)</f>
        <v>64000</v>
      </c>
      <c r="D14" s="15">
        <f>B14*18</f>
        <v>800000</v>
      </c>
      <c r="E14" s="15">
        <f>D14</f>
        <v>800000</v>
      </c>
    </row>
    <row r="15" spans="1:8" ht="30" x14ac:dyDescent="0.25">
      <c r="D15" s="240" t="s">
        <v>407</v>
      </c>
      <c r="E15" s="240">
        <f>E13+E14</f>
        <v>1600000</v>
      </c>
    </row>
    <row r="17" spans="1:11" x14ac:dyDescent="0.25">
      <c r="H17" s="11">
        <v>1300000</v>
      </c>
    </row>
    <row r="18" spans="1:11" ht="30" x14ac:dyDescent="0.25">
      <c r="A18" s="5" t="s">
        <v>467</v>
      </c>
      <c r="B18" s="5" t="s">
        <v>468</v>
      </c>
      <c r="C18" s="5" t="s">
        <v>469</v>
      </c>
      <c r="D18" s="5" t="s">
        <v>470</v>
      </c>
      <c r="E18" s="5" t="s">
        <v>471</v>
      </c>
      <c r="F18" s="5" t="s">
        <v>484</v>
      </c>
      <c r="G18" s="4" t="s">
        <v>472</v>
      </c>
      <c r="H18" s="5" t="s">
        <v>473</v>
      </c>
      <c r="I18" s="5" t="s">
        <v>474</v>
      </c>
      <c r="J18" s="5" t="s">
        <v>475</v>
      </c>
      <c r="K18" s="5" t="s">
        <v>476</v>
      </c>
    </row>
    <row r="19" spans="1:11" x14ac:dyDescent="0.25">
      <c r="A19" s="2">
        <v>2</v>
      </c>
      <c r="B19" s="2" t="s">
        <v>479</v>
      </c>
      <c r="C19" s="2" t="s">
        <v>480</v>
      </c>
      <c r="D19" s="2">
        <v>34689710</v>
      </c>
      <c r="E19" s="14">
        <v>638000</v>
      </c>
      <c r="F19" s="14">
        <v>162000</v>
      </c>
      <c r="G19" s="15">
        <f>E19+F19</f>
        <v>800000</v>
      </c>
      <c r="H19" s="15">
        <f>H17*4%</f>
        <v>52000</v>
      </c>
      <c r="I19" s="15">
        <f>H17*4%</f>
        <v>52000</v>
      </c>
      <c r="J19" s="15">
        <f>H19+I19</f>
        <v>104000</v>
      </c>
      <c r="K19" s="15">
        <f>G19-J19</f>
        <v>696000</v>
      </c>
    </row>
    <row r="20" spans="1:11" x14ac:dyDescent="0.25">
      <c r="A20" s="2">
        <v>3</v>
      </c>
      <c r="B20" s="2" t="s">
        <v>481</v>
      </c>
      <c r="C20" s="2" t="s">
        <v>482</v>
      </c>
      <c r="D20" s="2">
        <v>76345789</v>
      </c>
      <c r="E20" s="14">
        <v>638000</v>
      </c>
      <c r="F20" s="14">
        <v>162000</v>
      </c>
      <c r="G20" s="15">
        <f>E20+F20</f>
        <v>800000</v>
      </c>
      <c r="H20" s="15">
        <f>H17*4%</f>
        <v>52000</v>
      </c>
      <c r="I20" s="15">
        <f>H17*4%</f>
        <v>52000</v>
      </c>
      <c r="J20" s="15">
        <f>H20+I20</f>
        <v>104000</v>
      </c>
      <c r="K20" s="15">
        <f>G20-J20</f>
        <v>696000</v>
      </c>
    </row>
    <row r="21" spans="1:11" x14ac:dyDescent="0.25">
      <c r="A21" s="2"/>
      <c r="B21" s="2"/>
      <c r="C21" s="494" t="s">
        <v>483</v>
      </c>
      <c r="D21" s="494"/>
      <c r="E21" s="15">
        <f t="shared" ref="E21:K21" si="0">SUM(E19:E20)</f>
        <v>1276000</v>
      </c>
      <c r="F21" s="15">
        <f t="shared" si="0"/>
        <v>324000</v>
      </c>
      <c r="G21" s="15">
        <f t="shared" si="0"/>
        <v>1600000</v>
      </c>
      <c r="H21" s="15">
        <f t="shared" si="0"/>
        <v>104000</v>
      </c>
      <c r="I21" s="15">
        <f t="shared" si="0"/>
        <v>104000</v>
      </c>
      <c r="J21" s="15">
        <f t="shared" si="0"/>
        <v>208000</v>
      </c>
      <c r="K21" s="15">
        <f t="shared" si="0"/>
        <v>1392000</v>
      </c>
    </row>
  </sheetData>
  <mergeCells count="5">
    <mergeCell ref="C21:D21"/>
    <mergeCell ref="A1:B1"/>
    <mergeCell ref="A2:B2"/>
    <mergeCell ref="F4:G4"/>
    <mergeCell ref="A7:B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22738-73B4-4EE9-87C3-66D3297A8EED}">
  <dimension ref="A1:K22"/>
  <sheetViews>
    <sheetView topLeftCell="A3" zoomScaleNormal="100" workbookViewId="0">
      <selection activeCell="M16" sqref="M16"/>
    </sheetView>
  </sheetViews>
  <sheetFormatPr baseColWidth="10" defaultRowHeight="15" x14ac:dyDescent="0.25"/>
  <cols>
    <col min="1" max="1" width="12.28515625" customWidth="1"/>
    <col min="3" max="3" width="17.140625" customWidth="1"/>
    <col min="5" max="5" width="13" bestFit="1" customWidth="1"/>
    <col min="6" max="6" width="21.7109375" customWidth="1"/>
    <col min="7" max="7" width="14.7109375" customWidth="1"/>
    <col min="8" max="8" width="21.42578125" customWidth="1"/>
    <col min="9" max="9" width="19.85546875" customWidth="1"/>
    <col min="10" max="10" width="13.140625" customWidth="1"/>
  </cols>
  <sheetData>
    <row r="1" spans="1:8" x14ac:dyDescent="0.25">
      <c r="A1" s="471"/>
      <c r="B1" s="471"/>
    </row>
    <row r="2" spans="1:8" x14ac:dyDescent="0.25">
      <c r="A2" s="481" t="s">
        <v>386</v>
      </c>
      <c r="B2" s="481"/>
    </row>
    <row r="3" spans="1:8" x14ac:dyDescent="0.25">
      <c r="A3" s="172" t="s">
        <v>1</v>
      </c>
      <c r="B3" s="172" t="s">
        <v>218</v>
      </c>
    </row>
    <row r="4" spans="1:8" x14ac:dyDescent="0.25">
      <c r="A4" s="2" t="s">
        <v>387</v>
      </c>
      <c r="B4" s="14">
        <v>1500000</v>
      </c>
      <c r="C4" s="38"/>
      <c r="F4" s="530" t="s">
        <v>388</v>
      </c>
      <c r="G4" s="530"/>
    </row>
    <row r="5" spans="1:8" x14ac:dyDescent="0.25">
      <c r="A5" s="2"/>
      <c r="B5" s="14"/>
      <c r="C5" s="38"/>
      <c r="F5" s="173" t="s">
        <v>389</v>
      </c>
      <c r="G5" s="173">
        <v>30</v>
      </c>
    </row>
    <row r="6" spans="1:8" x14ac:dyDescent="0.25">
      <c r="B6" s="38"/>
      <c r="C6" s="38"/>
      <c r="F6" s="173" t="s">
        <v>390</v>
      </c>
      <c r="G6" s="173">
        <v>4</v>
      </c>
    </row>
    <row r="7" spans="1:8" x14ac:dyDescent="0.25">
      <c r="A7" s="471"/>
      <c r="B7" s="471"/>
      <c r="C7" s="16"/>
      <c r="F7" s="173" t="s">
        <v>392</v>
      </c>
      <c r="G7" s="173">
        <v>4</v>
      </c>
    </row>
    <row r="8" spans="1:8" x14ac:dyDescent="0.25">
      <c r="F8" s="173" t="s">
        <v>393</v>
      </c>
      <c r="G8" s="173">
        <v>4</v>
      </c>
    </row>
    <row r="9" spans="1:8" x14ac:dyDescent="0.25">
      <c r="B9" s="111"/>
      <c r="C9" s="38"/>
      <c r="F9" s="173" t="s">
        <v>395</v>
      </c>
      <c r="G9" s="176">
        <f>G5-G6-G7-G8</f>
        <v>18</v>
      </c>
      <c r="H9" s="145" t="s">
        <v>396</v>
      </c>
    </row>
    <row r="10" spans="1:8" x14ac:dyDescent="0.25">
      <c r="B10" s="111"/>
      <c r="C10" s="38"/>
    </row>
    <row r="12" spans="1:8" ht="30" x14ac:dyDescent="0.25">
      <c r="A12" s="4" t="s">
        <v>398</v>
      </c>
      <c r="B12" s="177" t="s">
        <v>399</v>
      </c>
      <c r="C12" s="4" t="s">
        <v>400</v>
      </c>
      <c r="D12" s="5" t="s">
        <v>401</v>
      </c>
      <c r="E12" s="5" t="s">
        <v>402</v>
      </c>
    </row>
    <row r="13" spans="1:8" x14ac:dyDescent="0.25">
      <c r="A13" s="172" t="s">
        <v>403</v>
      </c>
      <c r="B13" s="15">
        <f>B4/G9</f>
        <v>83333.333333333328</v>
      </c>
      <c r="C13" s="15">
        <f>((B13*18)*8%)</f>
        <v>120000</v>
      </c>
      <c r="D13" s="15">
        <f>B13*18</f>
        <v>1500000</v>
      </c>
      <c r="E13" s="15">
        <f>D13</f>
        <v>1500000</v>
      </c>
    </row>
    <row r="14" spans="1:8" ht="30" x14ac:dyDescent="0.25">
      <c r="B14" s="12"/>
      <c r="C14" s="12"/>
      <c r="D14" s="239" t="s">
        <v>407</v>
      </c>
      <c r="E14" s="172">
        <f>E13</f>
        <v>1500000</v>
      </c>
    </row>
    <row r="15" spans="1:8" x14ac:dyDescent="0.25">
      <c r="B15" s="12"/>
      <c r="C15" s="12"/>
      <c r="D15" s="12"/>
      <c r="E15" s="12"/>
    </row>
    <row r="16" spans="1:8" x14ac:dyDescent="0.25">
      <c r="B16" s="12"/>
      <c r="C16" s="12"/>
      <c r="D16" s="12"/>
      <c r="E16" s="12"/>
    </row>
    <row r="19" spans="1:11" x14ac:dyDescent="0.25">
      <c r="H19" s="11">
        <v>1300000</v>
      </c>
    </row>
    <row r="20" spans="1:11" ht="30" x14ac:dyDescent="0.25">
      <c r="A20" s="5" t="s">
        <v>467</v>
      </c>
      <c r="B20" s="5" t="s">
        <v>468</v>
      </c>
      <c r="C20" s="5" t="s">
        <v>469</v>
      </c>
      <c r="D20" s="5" t="s">
        <v>470</v>
      </c>
      <c r="E20" s="5" t="s">
        <v>471</v>
      </c>
      <c r="F20" s="5" t="s">
        <v>484</v>
      </c>
      <c r="G20" s="4" t="s">
        <v>472</v>
      </c>
      <c r="H20" s="5" t="s">
        <v>473</v>
      </c>
      <c r="I20" s="5" t="s">
        <v>474</v>
      </c>
      <c r="J20" s="5" t="s">
        <v>475</v>
      </c>
      <c r="K20" s="5" t="s">
        <v>476</v>
      </c>
    </row>
    <row r="21" spans="1:11" x14ac:dyDescent="0.25">
      <c r="A21" s="2">
        <v>1</v>
      </c>
      <c r="B21" s="2" t="s">
        <v>477</v>
      </c>
      <c r="C21" s="2" t="s">
        <v>478</v>
      </c>
      <c r="D21" s="2">
        <v>10547467</v>
      </c>
      <c r="E21" s="14">
        <v>1300000</v>
      </c>
      <c r="F21" s="14">
        <v>304000</v>
      </c>
      <c r="G21" s="15">
        <f>E21+F21</f>
        <v>1604000</v>
      </c>
      <c r="H21" s="15">
        <f>H19*4%</f>
        <v>52000</v>
      </c>
      <c r="I21" s="15">
        <f>H19*4%</f>
        <v>52000</v>
      </c>
      <c r="J21" s="15">
        <f>H21+I21</f>
        <v>104000</v>
      </c>
      <c r="K21" s="15">
        <f>G21-J21</f>
        <v>1500000</v>
      </c>
    </row>
    <row r="22" spans="1:11" x14ac:dyDescent="0.25">
      <c r="A22" s="2"/>
      <c r="B22" s="2"/>
      <c r="C22" s="494" t="s">
        <v>483</v>
      </c>
      <c r="D22" s="494"/>
      <c r="E22" s="15">
        <f t="shared" ref="E22:K22" si="0">SUM(E21:E21)</f>
        <v>1300000</v>
      </c>
      <c r="F22" s="15">
        <f t="shared" si="0"/>
        <v>304000</v>
      </c>
      <c r="G22" s="15">
        <f t="shared" si="0"/>
        <v>1604000</v>
      </c>
      <c r="H22" s="15">
        <f t="shared" si="0"/>
        <v>52000</v>
      </c>
      <c r="I22" s="15">
        <f t="shared" si="0"/>
        <v>52000</v>
      </c>
      <c r="J22" s="15">
        <f t="shared" si="0"/>
        <v>104000</v>
      </c>
      <c r="K22" s="15">
        <f t="shared" si="0"/>
        <v>1500000</v>
      </c>
    </row>
  </sheetData>
  <mergeCells count="5">
    <mergeCell ref="A1:B1"/>
    <mergeCell ref="A2:B2"/>
    <mergeCell ref="F4:G4"/>
    <mergeCell ref="A7:B7"/>
    <mergeCell ref="C22:D2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07F3D-437D-49EC-A25B-D2509E2E9497}">
  <dimension ref="A1:J19"/>
  <sheetViews>
    <sheetView topLeftCell="A2" zoomScaleNormal="100" workbookViewId="0">
      <selection activeCell="F4" sqref="F4:G4"/>
    </sheetView>
  </sheetViews>
  <sheetFormatPr baseColWidth="10" defaultRowHeight="15" x14ac:dyDescent="0.25"/>
  <cols>
    <col min="1" max="1" width="12.28515625" customWidth="1"/>
    <col min="3" max="3" width="17.140625" customWidth="1"/>
    <col min="5" max="5" width="15.5703125" customWidth="1"/>
    <col min="6" max="6" width="25.28515625" customWidth="1"/>
    <col min="7" max="7" width="14.7109375" customWidth="1"/>
    <col min="8" max="8" width="21.42578125" customWidth="1"/>
    <col min="9" max="9" width="19.85546875" customWidth="1"/>
    <col min="10" max="10" width="13.140625" customWidth="1"/>
  </cols>
  <sheetData>
    <row r="1" spans="1:8" x14ac:dyDescent="0.25">
      <c r="A1" s="471"/>
      <c r="B1" s="471"/>
    </row>
    <row r="2" spans="1:8" x14ac:dyDescent="0.25">
      <c r="A2" s="481" t="s">
        <v>575</v>
      </c>
      <c r="B2" s="481"/>
    </row>
    <row r="3" spans="1:8" x14ac:dyDescent="0.25">
      <c r="A3" s="178" t="s">
        <v>1</v>
      </c>
      <c r="B3" s="178" t="s">
        <v>218</v>
      </c>
    </row>
    <row r="4" spans="1:8" x14ac:dyDescent="0.25">
      <c r="A4" s="2" t="s">
        <v>125</v>
      </c>
      <c r="B4" s="14">
        <v>500000</v>
      </c>
      <c r="C4" s="38"/>
      <c r="F4" s="530" t="s">
        <v>388</v>
      </c>
      <c r="G4" s="530"/>
    </row>
    <row r="5" spans="1:8" x14ac:dyDescent="0.25">
      <c r="A5" s="2"/>
      <c r="B5" s="14"/>
      <c r="C5" s="38"/>
      <c r="F5" s="173" t="s">
        <v>389</v>
      </c>
      <c r="G5" s="173">
        <v>30</v>
      </c>
    </row>
    <row r="6" spans="1:8" x14ac:dyDescent="0.25">
      <c r="B6" s="38"/>
      <c r="C6" s="38"/>
      <c r="F6" s="173" t="s">
        <v>390</v>
      </c>
      <c r="G6" s="173">
        <v>4</v>
      </c>
    </row>
    <row r="7" spans="1:8" x14ac:dyDescent="0.25">
      <c r="A7" s="471"/>
      <c r="B7" s="471"/>
      <c r="C7" s="16"/>
      <c r="F7" s="173" t="s">
        <v>392</v>
      </c>
      <c r="G7" s="173">
        <v>4</v>
      </c>
    </row>
    <row r="8" spans="1:8" x14ac:dyDescent="0.25">
      <c r="F8" s="173" t="s">
        <v>393</v>
      </c>
      <c r="G8" s="173">
        <v>4</v>
      </c>
    </row>
    <row r="9" spans="1:8" x14ac:dyDescent="0.25">
      <c r="B9" s="111"/>
      <c r="C9" s="38"/>
      <c r="F9" s="173" t="s">
        <v>395</v>
      </c>
      <c r="G9" s="176">
        <f>G5-G6-G7-G8</f>
        <v>18</v>
      </c>
      <c r="H9" s="145" t="s">
        <v>396</v>
      </c>
    </row>
    <row r="10" spans="1:8" x14ac:dyDescent="0.25">
      <c r="B10" s="111"/>
      <c r="C10" s="38"/>
    </row>
    <row r="12" spans="1:8" ht="30" x14ac:dyDescent="0.25">
      <c r="A12" s="4" t="s">
        <v>398</v>
      </c>
      <c r="B12" s="177" t="s">
        <v>399</v>
      </c>
      <c r="C12" s="4" t="s">
        <v>400</v>
      </c>
      <c r="D12" s="5" t="s">
        <v>401</v>
      </c>
      <c r="E12" s="5" t="s">
        <v>402</v>
      </c>
    </row>
    <row r="13" spans="1:8" x14ac:dyDescent="0.25">
      <c r="A13" s="178" t="s">
        <v>406</v>
      </c>
      <c r="B13" s="15">
        <f>B4/G9</f>
        <v>27777.777777777777</v>
      </c>
      <c r="C13" s="15">
        <f>((B13*18)*8%)</f>
        <v>40000</v>
      </c>
      <c r="D13" s="15">
        <f>B13*18</f>
        <v>500000</v>
      </c>
      <c r="E13" s="15">
        <f>D13</f>
        <v>500000</v>
      </c>
    </row>
    <row r="14" spans="1:8" ht="30" x14ac:dyDescent="0.25">
      <c r="B14" s="12"/>
      <c r="C14" s="12"/>
      <c r="D14" s="88" t="s">
        <v>407</v>
      </c>
      <c r="E14" s="238">
        <f>E13</f>
        <v>500000</v>
      </c>
    </row>
    <row r="15" spans="1:8" x14ac:dyDescent="0.25">
      <c r="B15" s="12"/>
      <c r="C15" s="12"/>
      <c r="D15" s="12"/>
      <c r="E15" s="12"/>
    </row>
    <row r="16" spans="1:8" x14ac:dyDescent="0.25">
      <c r="H16" s="11"/>
    </row>
    <row r="17" spans="1:10" x14ac:dyDescent="0.25">
      <c r="A17" s="5" t="s">
        <v>467</v>
      </c>
      <c r="B17" s="5" t="s">
        <v>468</v>
      </c>
      <c r="C17" s="5" t="s">
        <v>469</v>
      </c>
      <c r="D17" s="5" t="s">
        <v>470</v>
      </c>
      <c r="E17" s="5" t="s">
        <v>471</v>
      </c>
      <c r="F17" s="4" t="s">
        <v>472</v>
      </c>
      <c r="G17" s="5" t="s">
        <v>476</v>
      </c>
      <c r="H17" s="54"/>
      <c r="I17" s="54"/>
      <c r="J17" s="54"/>
    </row>
    <row r="18" spans="1:10" x14ac:dyDescent="0.25">
      <c r="A18" s="2">
        <v>1</v>
      </c>
      <c r="B18" s="2" t="s">
        <v>576</v>
      </c>
      <c r="C18" s="2" t="s">
        <v>577</v>
      </c>
      <c r="D18" s="2">
        <v>25890567</v>
      </c>
      <c r="E18" s="14">
        <v>500000</v>
      </c>
      <c r="F18" s="15">
        <f>E18</f>
        <v>500000</v>
      </c>
      <c r="G18" s="15">
        <f>F18-J18</f>
        <v>500000</v>
      </c>
      <c r="H18" s="12"/>
      <c r="I18" s="12"/>
      <c r="J18" s="12"/>
    </row>
    <row r="19" spans="1:10" x14ac:dyDescent="0.25">
      <c r="A19" s="2"/>
      <c r="B19" s="2"/>
      <c r="C19" s="494" t="s">
        <v>483</v>
      </c>
      <c r="D19" s="494"/>
      <c r="E19" s="15">
        <f>SUM(E18:E18)</f>
        <v>500000</v>
      </c>
      <c r="F19" s="15">
        <f>SUM(F18:F18)</f>
        <v>500000</v>
      </c>
      <c r="G19" s="15">
        <f>SUM(G18:G18)</f>
        <v>500000</v>
      </c>
      <c r="H19" s="12"/>
      <c r="I19" s="12"/>
      <c r="J19" s="12"/>
    </row>
  </sheetData>
  <mergeCells count="5">
    <mergeCell ref="A1:B1"/>
    <mergeCell ref="A2:B2"/>
    <mergeCell ref="F4:G4"/>
    <mergeCell ref="A7:B7"/>
    <mergeCell ref="C19:D1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B34F2-E0CD-4E3C-B0D5-3FCDA244AC14}">
  <dimension ref="A1:O39"/>
  <sheetViews>
    <sheetView showGridLines="0" tabSelected="1" topLeftCell="A2" zoomScale="66" zoomScaleNormal="66" workbookViewId="0">
      <selection activeCell="P30" sqref="P30"/>
    </sheetView>
  </sheetViews>
  <sheetFormatPr baseColWidth="10" defaultColWidth="11.42578125" defaultRowHeight="15" x14ac:dyDescent="0.25"/>
  <cols>
    <col min="1" max="1" width="2.5703125" style="247" customWidth="1"/>
    <col min="2" max="2" width="4.5703125" style="243" customWidth="1"/>
    <col min="3" max="3" width="48" style="250" customWidth="1"/>
    <col min="4" max="4" width="3.42578125" style="251" customWidth="1"/>
    <col min="5" max="5" width="19.42578125" style="253" customWidth="1"/>
    <col min="6" max="6" width="3.42578125" style="250" customWidth="1"/>
    <col min="7" max="7" width="21.7109375" style="253" customWidth="1"/>
    <col min="8" max="8" width="4.42578125" style="250" customWidth="1"/>
    <col min="9" max="9" width="2.5703125" style="247" customWidth="1"/>
    <col min="10" max="10" width="18.42578125" style="247" customWidth="1"/>
    <col min="11" max="13" width="16.7109375" style="247" customWidth="1"/>
    <col min="14" max="14" width="16.140625" style="247" customWidth="1"/>
    <col min="15" max="15" width="11.7109375" style="247" bestFit="1" customWidth="1"/>
    <col min="16" max="16384" width="11.42578125" style="247"/>
  </cols>
  <sheetData>
    <row r="1" spans="2:15" x14ac:dyDescent="0.25">
      <c r="C1" s="244"/>
      <c r="D1" s="245"/>
      <c r="E1" s="246"/>
      <c r="F1" s="244"/>
      <c r="G1" s="246"/>
      <c r="H1" s="244"/>
    </row>
    <row r="2" spans="2:15" ht="15.75" thickBot="1" x14ac:dyDescent="0.3">
      <c r="B2" s="539"/>
      <c r="C2" s="539"/>
      <c r="D2" s="539"/>
      <c r="E2" s="539"/>
      <c r="F2" s="539"/>
      <c r="G2" s="539"/>
      <c r="H2" s="539"/>
    </row>
    <row r="3" spans="2:15" x14ac:dyDescent="0.25">
      <c r="B3" s="540" t="s">
        <v>653</v>
      </c>
      <c r="C3" s="541"/>
      <c r="D3" s="541"/>
      <c r="E3" s="541"/>
      <c r="F3" s="541"/>
      <c r="G3" s="541"/>
      <c r="H3" s="542"/>
      <c r="I3" s="249"/>
    </row>
    <row r="4" spans="2:15" x14ac:dyDescent="0.25">
      <c r="B4" s="540" t="s">
        <v>594</v>
      </c>
      <c r="C4" s="541"/>
      <c r="D4" s="541"/>
      <c r="E4" s="541"/>
      <c r="F4" s="541"/>
      <c r="G4" s="541"/>
      <c r="H4" s="542"/>
      <c r="I4" s="249"/>
    </row>
    <row r="5" spans="2:15" x14ac:dyDescent="0.25">
      <c r="B5" s="543" t="s">
        <v>595</v>
      </c>
      <c r="C5" s="544"/>
      <c r="D5" s="544"/>
      <c r="E5" s="544"/>
      <c r="F5" s="544"/>
      <c r="G5" s="544"/>
      <c r="H5" s="545"/>
      <c r="I5" s="390"/>
      <c r="J5" s="390"/>
      <c r="K5" s="390"/>
      <c r="L5" s="390"/>
      <c r="M5" s="390"/>
      <c r="N5" s="390"/>
    </row>
    <row r="6" spans="2:15" x14ac:dyDescent="0.25">
      <c r="B6" s="543" t="s">
        <v>652</v>
      </c>
      <c r="C6" s="544"/>
      <c r="D6" s="544"/>
      <c r="E6" s="544"/>
      <c r="F6" s="544"/>
      <c r="G6" s="544"/>
      <c r="H6" s="545"/>
      <c r="I6" s="390"/>
      <c r="J6" s="390"/>
      <c r="K6" s="390"/>
      <c r="L6" s="390"/>
      <c r="M6" s="390"/>
      <c r="N6" s="390"/>
    </row>
    <row r="7" spans="2:15" ht="15.75" thickBot="1" x14ac:dyDescent="0.3">
      <c r="B7" s="546">
        <v>45504</v>
      </c>
      <c r="C7" s="544"/>
      <c r="D7" s="544"/>
      <c r="E7" s="544"/>
      <c r="F7" s="544"/>
      <c r="G7" s="544"/>
      <c r="H7" s="545"/>
      <c r="I7" s="390"/>
      <c r="J7" s="390"/>
      <c r="K7" s="390"/>
      <c r="L7" s="390"/>
      <c r="M7" s="390"/>
      <c r="N7" s="390"/>
    </row>
    <row r="8" spans="2:15" x14ac:dyDescent="0.25">
      <c r="B8" s="543"/>
      <c r="C8" s="544"/>
      <c r="D8" s="544"/>
      <c r="E8" s="544"/>
      <c r="F8" s="544"/>
      <c r="G8" s="544"/>
      <c r="H8" s="545"/>
      <c r="I8" s="390"/>
      <c r="J8" s="439">
        <f>J13/N13</f>
        <v>0.37941282120598291</v>
      </c>
      <c r="K8" s="440">
        <f>K13/N13</f>
        <v>0.2271273936534623</v>
      </c>
      <c r="L8" s="440">
        <f>L13/N13</f>
        <v>9.5406185078341116E-2</v>
      </c>
      <c r="M8" s="441">
        <f>M13/N13</f>
        <v>0.29805360006221371</v>
      </c>
      <c r="N8" s="391">
        <f>J8+K8+L8+M8</f>
        <v>1</v>
      </c>
    </row>
    <row r="9" spans="2:15" ht="15" customHeight="1" x14ac:dyDescent="0.25">
      <c r="B9" s="543" t="s">
        <v>596</v>
      </c>
      <c r="C9" s="544"/>
      <c r="D9" s="544"/>
      <c r="E9" s="544"/>
      <c r="F9" s="544"/>
      <c r="G9" s="544"/>
      <c r="H9" s="545"/>
      <c r="I9" s="390"/>
      <c r="J9" s="547" t="s">
        <v>186</v>
      </c>
      <c r="K9" s="549" t="s">
        <v>76</v>
      </c>
      <c r="L9" s="537" t="s">
        <v>80</v>
      </c>
      <c r="M9" s="535" t="s">
        <v>53</v>
      </c>
      <c r="N9" s="390"/>
    </row>
    <row r="10" spans="2:15" x14ac:dyDescent="0.25">
      <c r="B10" s="392"/>
      <c r="C10" s="393"/>
      <c r="D10" s="393"/>
      <c r="E10" s="394"/>
      <c r="F10" s="393"/>
      <c r="G10" s="394"/>
      <c r="H10" s="395"/>
      <c r="I10" s="390"/>
      <c r="J10" s="548"/>
      <c r="K10" s="550"/>
      <c r="L10" s="538"/>
      <c r="M10" s="536"/>
      <c r="N10" s="390"/>
    </row>
    <row r="11" spans="2:15" ht="15.75" thickBot="1" x14ac:dyDescent="0.3">
      <c r="B11" s="392"/>
      <c r="C11" s="393" t="s">
        <v>597</v>
      </c>
      <c r="D11" s="393"/>
      <c r="E11" s="396"/>
      <c r="F11" s="397" t="s">
        <v>598</v>
      </c>
      <c r="G11" s="398">
        <v>45504</v>
      </c>
      <c r="H11" s="395"/>
      <c r="I11" s="390"/>
      <c r="J11" s="442"/>
      <c r="K11" s="443"/>
      <c r="L11" s="444"/>
      <c r="M11" s="445"/>
      <c r="N11" s="390"/>
    </row>
    <row r="12" spans="2:15" x14ac:dyDescent="0.25">
      <c r="B12" s="399"/>
      <c r="C12" s="400"/>
      <c r="D12" s="400"/>
      <c r="E12" s="401"/>
      <c r="F12" s="401"/>
      <c r="G12" s="401"/>
      <c r="H12" s="402"/>
      <c r="I12" s="390"/>
      <c r="J12" s="446"/>
      <c r="K12" s="447"/>
      <c r="L12" s="448"/>
      <c r="M12" s="449"/>
      <c r="N12" s="390"/>
    </row>
    <row r="13" spans="2:15" x14ac:dyDescent="0.25">
      <c r="B13" s="403"/>
      <c r="C13" s="393" t="s">
        <v>599</v>
      </c>
      <c r="D13" s="393"/>
      <c r="E13" s="404">
        <f>G14</f>
        <v>2700370</v>
      </c>
      <c r="F13" s="405"/>
      <c r="G13" s="405"/>
      <c r="H13" s="406"/>
      <c r="I13" s="407"/>
      <c r="J13" s="450">
        <f>'BALANCE DE COMPROBACIÓN'!C57</f>
        <v>1024555</v>
      </c>
      <c r="K13" s="451">
        <f>'BALANCE DE COMPROBACIÓN'!C58</f>
        <v>613328</v>
      </c>
      <c r="L13" s="452">
        <f>'BALANCE DE COMPROBACIÓN'!C59</f>
        <v>257632</v>
      </c>
      <c r="M13" s="453">
        <f>'BALANCE DE COMPROBACIÓN'!C60</f>
        <v>804855</v>
      </c>
      <c r="N13" s="408">
        <f>J13+K13+L13+M13</f>
        <v>2700370</v>
      </c>
      <c r="O13" s="260"/>
    </row>
    <row r="14" spans="2:15" x14ac:dyDescent="0.25">
      <c r="B14" s="403" t="s">
        <v>600</v>
      </c>
      <c r="C14" s="393" t="s">
        <v>601</v>
      </c>
      <c r="D14" s="393"/>
      <c r="E14" s="404"/>
      <c r="F14" s="409" t="s">
        <v>602</v>
      </c>
      <c r="G14" s="405">
        <f>J13+K13+L13+M13</f>
        <v>2700370</v>
      </c>
      <c r="H14" s="406"/>
      <c r="I14" s="407"/>
      <c r="J14" s="450"/>
      <c r="K14" s="451"/>
      <c r="L14" s="452"/>
      <c r="M14" s="453"/>
      <c r="N14" s="390"/>
    </row>
    <row r="15" spans="2:15" x14ac:dyDescent="0.25">
      <c r="B15" s="403"/>
      <c r="C15" s="393"/>
      <c r="D15" s="393"/>
      <c r="E15" s="404"/>
      <c r="F15" s="410"/>
      <c r="G15" s="405"/>
      <c r="H15" s="406"/>
      <c r="I15" s="407"/>
      <c r="J15" s="450"/>
      <c r="K15" s="451"/>
      <c r="L15" s="452"/>
      <c r="M15" s="453"/>
      <c r="N15" s="390"/>
    </row>
    <row r="16" spans="2:15" x14ac:dyDescent="0.25">
      <c r="B16" s="403"/>
      <c r="C16" s="393" t="s">
        <v>603</v>
      </c>
      <c r="D16" s="393"/>
      <c r="E16" s="404">
        <f>+N16</f>
        <v>2730891</v>
      </c>
      <c r="F16" s="405"/>
      <c r="G16" s="405"/>
      <c r="H16" s="406"/>
      <c r="I16" s="407"/>
      <c r="J16" s="454">
        <f>N16*38%</f>
        <v>1037738.58</v>
      </c>
      <c r="K16" s="451">
        <f>N16*23%</f>
        <v>628104.93000000005</v>
      </c>
      <c r="L16" s="452">
        <f>N16*10%</f>
        <v>273089.10000000003</v>
      </c>
      <c r="M16" s="453">
        <f>N16*30%</f>
        <v>819267.29999999993</v>
      </c>
      <c r="N16" s="408">
        <v>2730891</v>
      </c>
      <c r="O16" s="355"/>
    </row>
    <row r="17" spans="2:14" x14ac:dyDescent="0.25">
      <c r="B17" s="403" t="s">
        <v>600</v>
      </c>
      <c r="C17" s="393" t="s">
        <v>604</v>
      </c>
      <c r="D17" s="390"/>
      <c r="E17" s="411"/>
      <c r="F17" s="409" t="s">
        <v>602</v>
      </c>
      <c r="G17" s="405">
        <v>2730891</v>
      </c>
      <c r="H17" s="406"/>
      <c r="I17" s="407"/>
      <c r="J17" s="450"/>
      <c r="K17" s="451"/>
      <c r="L17" s="452"/>
      <c r="M17" s="453"/>
      <c r="N17" s="412"/>
    </row>
    <row r="18" spans="2:14" x14ac:dyDescent="0.25">
      <c r="B18" s="403"/>
      <c r="C18" s="393"/>
      <c r="D18" s="393"/>
      <c r="E18" s="404"/>
      <c r="F18" s="410"/>
      <c r="G18" s="405"/>
      <c r="H18" s="406"/>
      <c r="I18" s="407"/>
      <c r="J18" s="450"/>
      <c r="K18" s="451"/>
      <c r="L18" s="452"/>
      <c r="M18" s="453"/>
      <c r="N18" s="390"/>
    </row>
    <row r="19" spans="2:14" x14ac:dyDescent="0.25">
      <c r="B19" s="403"/>
      <c r="C19" s="393" t="s">
        <v>605</v>
      </c>
      <c r="D19" s="393"/>
      <c r="E19" s="404">
        <v>1349031</v>
      </c>
      <c r="F19" s="405"/>
      <c r="G19" s="404"/>
      <c r="H19" s="406"/>
      <c r="I19" s="407"/>
      <c r="J19" s="450">
        <f>N19*38%</f>
        <v>507556.12</v>
      </c>
      <c r="K19" s="451">
        <f>N19*23%</f>
        <v>307205.02</v>
      </c>
      <c r="L19" s="452">
        <f>N19*10%</f>
        <v>133567.4</v>
      </c>
      <c r="M19" s="453">
        <f>N19*30%</f>
        <v>400702.2</v>
      </c>
      <c r="N19" s="408">
        <v>1335674</v>
      </c>
    </row>
    <row r="20" spans="2:14" s="255" customFormat="1" x14ac:dyDescent="0.25">
      <c r="B20" s="403" t="s">
        <v>600</v>
      </c>
      <c r="C20" s="393" t="s">
        <v>606</v>
      </c>
      <c r="D20" s="390"/>
      <c r="E20" s="404"/>
      <c r="F20" s="409" t="s">
        <v>602</v>
      </c>
      <c r="G20" s="405">
        <f>J19+K19+L19+M19</f>
        <v>1349030.74</v>
      </c>
      <c r="H20" s="406"/>
      <c r="I20" s="407"/>
      <c r="J20" s="450"/>
      <c r="K20" s="451"/>
      <c r="L20" s="452"/>
      <c r="M20" s="453"/>
      <c r="N20" s="390"/>
    </row>
    <row r="21" spans="2:14" x14ac:dyDescent="0.25">
      <c r="B21" s="403"/>
      <c r="C21" s="393"/>
      <c r="D21" s="393"/>
      <c r="E21" s="404"/>
      <c r="F21" s="410"/>
      <c r="G21" s="405"/>
      <c r="H21" s="406"/>
      <c r="I21" s="407"/>
      <c r="J21" s="450"/>
      <c r="K21" s="451"/>
      <c r="L21" s="452"/>
      <c r="M21" s="453"/>
      <c r="N21" s="408"/>
    </row>
    <row r="22" spans="2:14" x14ac:dyDescent="0.25">
      <c r="B22" s="403"/>
      <c r="C22" s="393"/>
      <c r="D22" s="393"/>
      <c r="E22" s="404"/>
      <c r="F22" s="410"/>
      <c r="G22" s="405"/>
      <c r="H22" s="406"/>
      <c r="I22" s="407"/>
      <c r="J22" s="450"/>
      <c r="K22" s="451"/>
      <c r="L22" s="452"/>
      <c r="M22" s="453"/>
      <c r="N22" s="390"/>
    </row>
    <row r="23" spans="2:14" x14ac:dyDescent="0.25">
      <c r="B23" s="403" t="s">
        <v>600</v>
      </c>
      <c r="C23" s="393" t="s">
        <v>607</v>
      </c>
      <c r="D23" s="393"/>
      <c r="E23" s="404"/>
      <c r="F23" s="409" t="s">
        <v>602</v>
      </c>
      <c r="G23" s="405">
        <f>G14+G17+G20</f>
        <v>6780291.7400000002</v>
      </c>
      <c r="H23" s="406"/>
      <c r="I23" s="407"/>
      <c r="J23" s="450"/>
      <c r="K23" s="451"/>
      <c r="L23" s="452"/>
      <c r="M23" s="453"/>
      <c r="N23" s="390"/>
    </row>
    <row r="24" spans="2:14" x14ac:dyDescent="0.25">
      <c r="B24" s="403" t="s">
        <v>608</v>
      </c>
      <c r="C24" s="393" t="s">
        <v>609</v>
      </c>
      <c r="D24" s="393"/>
      <c r="E24" s="407"/>
      <c r="F24" s="409" t="s">
        <v>602</v>
      </c>
      <c r="G24" s="413">
        <v>0</v>
      </c>
      <c r="H24" s="406"/>
      <c r="I24" s="407"/>
      <c r="J24" s="455"/>
      <c r="K24" s="414"/>
      <c r="L24" s="415"/>
      <c r="M24" s="456"/>
      <c r="N24" s="390"/>
    </row>
    <row r="25" spans="2:14" s="255" customFormat="1" x14ac:dyDescent="0.25">
      <c r="B25" s="403" t="s">
        <v>600</v>
      </c>
      <c r="C25" s="393" t="s">
        <v>610</v>
      </c>
      <c r="D25" s="390"/>
      <c r="E25" s="407"/>
      <c r="F25" s="409" t="s">
        <v>602</v>
      </c>
      <c r="G25" s="404">
        <f>+G23+G24</f>
        <v>6780291.7400000002</v>
      </c>
      <c r="H25" s="406"/>
      <c r="I25" s="407"/>
      <c r="J25" s="450">
        <f>SUM(J13:J24)</f>
        <v>2569849.7000000002</v>
      </c>
      <c r="K25" s="451">
        <f>SUM(K13:K24)</f>
        <v>1548637.9500000002</v>
      </c>
      <c r="L25" s="452">
        <f>SUM(L13:L24)</f>
        <v>664288.50000000012</v>
      </c>
      <c r="M25" s="453">
        <f>SUM(M13:M24)</f>
        <v>2024824.4999999998</v>
      </c>
      <c r="N25" s="408">
        <f>SUM(J25:M25)</f>
        <v>6807600.6500000004</v>
      </c>
    </row>
    <row r="26" spans="2:14" x14ac:dyDescent="0.25">
      <c r="B26" s="403" t="s">
        <v>611</v>
      </c>
      <c r="C26" s="393" t="s">
        <v>612</v>
      </c>
      <c r="D26" s="393"/>
      <c r="E26" s="407"/>
      <c r="F26" s="409" t="s">
        <v>602</v>
      </c>
      <c r="G26" s="413">
        <v>0</v>
      </c>
      <c r="H26" s="406"/>
      <c r="I26" s="407"/>
      <c r="J26" s="450"/>
      <c r="K26" s="451"/>
      <c r="L26" s="452"/>
      <c r="M26" s="453"/>
      <c r="N26" s="390"/>
    </row>
    <row r="27" spans="2:14" s="255" customFormat="1" x14ac:dyDescent="0.25">
      <c r="B27" s="403" t="s">
        <v>600</v>
      </c>
      <c r="C27" s="393" t="s">
        <v>613</v>
      </c>
      <c r="D27" s="390"/>
      <c r="E27" s="407"/>
      <c r="F27" s="409" t="s">
        <v>602</v>
      </c>
      <c r="G27" s="404">
        <f>+G25-G26</f>
        <v>6780291.7400000002</v>
      </c>
      <c r="H27" s="406"/>
      <c r="I27" s="407"/>
      <c r="J27" s="450"/>
      <c r="K27" s="451"/>
      <c r="L27" s="452"/>
      <c r="M27" s="453"/>
      <c r="N27" s="390"/>
    </row>
    <row r="28" spans="2:14" x14ac:dyDescent="0.25">
      <c r="B28" s="403" t="s">
        <v>608</v>
      </c>
      <c r="C28" s="393" t="s">
        <v>614</v>
      </c>
      <c r="D28" s="393"/>
      <c r="E28" s="407"/>
      <c r="F28" s="409" t="s">
        <v>602</v>
      </c>
      <c r="G28" s="413"/>
      <c r="H28" s="406"/>
      <c r="I28" s="407"/>
      <c r="J28" s="450"/>
      <c r="K28" s="451"/>
      <c r="L28" s="452"/>
      <c r="M28" s="453"/>
      <c r="N28" s="390"/>
    </row>
    <row r="29" spans="2:14" s="255" customFormat="1" x14ac:dyDescent="0.25">
      <c r="B29" s="403" t="s">
        <v>600</v>
      </c>
      <c r="C29" s="393" t="s">
        <v>615</v>
      </c>
      <c r="D29" s="390"/>
      <c r="E29" s="407"/>
      <c r="F29" s="409" t="s">
        <v>602</v>
      </c>
      <c r="G29" s="404">
        <f>+G27+G28</f>
        <v>6780291.7400000002</v>
      </c>
      <c r="H29" s="406"/>
      <c r="I29" s="407"/>
      <c r="J29" s="450"/>
      <c r="K29" s="451"/>
      <c r="L29" s="452"/>
      <c r="M29" s="453"/>
      <c r="N29" s="390"/>
    </row>
    <row r="30" spans="2:14" x14ac:dyDescent="0.25">
      <c r="B30" s="403" t="s">
        <v>611</v>
      </c>
      <c r="C30" s="393" t="s">
        <v>616</v>
      </c>
      <c r="D30" s="393"/>
      <c r="E30" s="407"/>
      <c r="F30" s="409" t="s">
        <v>602</v>
      </c>
      <c r="G30" s="413"/>
      <c r="H30" s="406"/>
      <c r="I30" s="407"/>
      <c r="J30" s="450"/>
      <c r="K30" s="451"/>
      <c r="L30" s="452"/>
      <c r="M30" s="453"/>
      <c r="N30" s="390"/>
    </row>
    <row r="31" spans="2:14" s="255" customFormat="1" ht="15.75" thickBot="1" x14ac:dyDescent="0.3">
      <c r="B31" s="403" t="s">
        <v>600</v>
      </c>
      <c r="C31" s="393" t="s">
        <v>617</v>
      </c>
      <c r="D31" s="390"/>
      <c r="E31" s="404"/>
      <c r="F31" s="409" t="s">
        <v>602</v>
      </c>
      <c r="G31" s="416">
        <f>+G29-G30</f>
        <v>6780291.7400000002</v>
      </c>
      <c r="H31" s="406"/>
      <c r="I31" s="407"/>
      <c r="J31" s="457">
        <f>+J25</f>
        <v>2569849.7000000002</v>
      </c>
      <c r="K31" s="458">
        <f>+K25</f>
        <v>1548637.9500000002</v>
      </c>
      <c r="L31" s="459">
        <f>+L25</f>
        <v>664288.50000000012</v>
      </c>
      <c r="M31" s="460">
        <f>+M25</f>
        <v>2024824.4999999998</v>
      </c>
      <c r="N31" s="390"/>
    </row>
    <row r="32" spans="2:14" ht="16.5" thickTop="1" thickBot="1" x14ac:dyDescent="0.3">
      <c r="B32" s="403"/>
      <c r="C32" s="393"/>
      <c r="D32" s="393"/>
      <c r="E32" s="404"/>
      <c r="F32" s="404"/>
      <c r="G32" s="404"/>
      <c r="H32" s="406"/>
      <c r="I32" s="407"/>
      <c r="J32" s="407"/>
      <c r="K32" s="407"/>
      <c r="L32" s="407"/>
      <c r="M32" s="407"/>
      <c r="N32" s="390"/>
    </row>
    <row r="33" spans="1:14" x14ac:dyDescent="0.25">
      <c r="A33" s="435"/>
      <c r="B33" s="417"/>
      <c r="C33" s="400"/>
      <c r="D33" s="400"/>
      <c r="E33" s="418"/>
      <c r="F33" s="400"/>
      <c r="G33" s="418"/>
      <c r="H33" s="419"/>
      <c r="I33" s="390"/>
      <c r="J33" s="390"/>
      <c r="K33" s="390"/>
      <c r="L33" s="390"/>
      <c r="M33" s="390"/>
      <c r="N33" s="390"/>
    </row>
    <row r="34" spans="1:14" x14ac:dyDescent="0.25">
      <c r="A34" s="436"/>
      <c r="B34" s="392"/>
      <c r="C34" s="393"/>
      <c r="D34" s="420"/>
      <c r="E34" s="532"/>
      <c r="F34" s="532"/>
      <c r="G34" s="532"/>
      <c r="H34" s="395"/>
      <c r="I34" s="390"/>
      <c r="J34" s="390"/>
      <c r="K34" s="390"/>
      <c r="L34" s="390"/>
      <c r="M34" s="390"/>
      <c r="N34" s="390"/>
    </row>
    <row r="35" spans="1:14" x14ac:dyDescent="0.25">
      <c r="A35" s="436"/>
      <c r="B35" s="392"/>
      <c r="C35" s="428" t="s">
        <v>618</v>
      </c>
      <c r="D35" s="393"/>
      <c r="E35" s="533" t="s">
        <v>621</v>
      </c>
      <c r="F35" s="533"/>
      <c r="G35" s="533"/>
      <c r="H35" s="395"/>
      <c r="I35" s="390"/>
      <c r="J35" s="390"/>
      <c r="K35" s="390"/>
      <c r="L35" s="390"/>
      <c r="M35" s="390"/>
      <c r="N35" s="390"/>
    </row>
    <row r="36" spans="1:14" s="255" customFormat="1" ht="12" customHeight="1" x14ac:dyDescent="0.25">
      <c r="A36" s="437"/>
      <c r="B36" s="421"/>
      <c r="C36" s="428" t="s">
        <v>619</v>
      </c>
      <c r="D36" s="429"/>
      <c r="E36" s="534"/>
      <c r="F36" s="534"/>
      <c r="G36" s="534"/>
      <c r="H36" s="422"/>
      <c r="I36" s="390"/>
      <c r="J36" s="390"/>
      <c r="K36" s="390"/>
      <c r="L36" s="390"/>
      <c r="M36" s="390"/>
      <c r="N36" s="390"/>
    </row>
    <row r="37" spans="1:14" ht="12" customHeight="1" thickBot="1" x14ac:dyDescent="0.3">
      <c r="A37" s="438"/>
      <c r="B37" s="423"/>
      <c r="C37" s="424" t="s">
        <v>620</v>
      </c>
      <c r="D37" s="425"/>
      <c r="E37" s="531">
        <v>1002970332</v>
      </c>
      <c r="F37" s="531"/>
      <c r="G37" s="531"/>
      <c r="H37" s="426"/>
      <c r="I37" s="390"/>
      <c r="J37" s="390"/>
      <c r="K37" s="390"/>
      <c r="L37" s="390"/>
      <c r="M37" s="390"/>
      <c r="N37" s="390"/>
    </row>
    <row r="38" spans="1:14" ht="12" customHeight="1" x14ac:dyDescent="0.25">
      <c r="B38" s="430"/>
      <c r="C38" s="429"/>
      <c r="D38" s="429"/>
      <c r="E38" s="427"/>
      <c r="F38" s="429"/>
      <c r="G38" s="427"/>
      <c r="H38" s="431"/>
      <c r="I38" s="390"/>
      <c r="J38" s="390"/>
      <c r="K38" s="390"/>
      <c r="L38" s="390"/>
      <c r="M38" s="390"/>
      <c r="N38" s="390"/>
    </row>
    <row r="39" spans="1:14" ht="12" customHeight="1" x14ac:dyDescent="0.25">
      <c r="B39" s="432"/>
      <c r="C39" s="433"/>
      <c r="D39" s="433"/>
      <c r="E39" s="259"/>
      <c r="F39" s="433"/>
      <c r="G39" s="259"/>
      <c r="H39" s="434"/>
    </row>
  </sheetData>
  <mergeCells count="16">
    <mergeCell ref="B7:H7"/>
    <mergeCell ref="B8:H8"/>
    <mergeCell ref="B9:H9"/>
    <mergeCell ref="J9:J10"/>
    <mergeCell ref="K9:K10"/>
    <mergeCell ref="B2:H2"/>
    <mergeCell ref="B3:H3"/>
    <mergeCell ref="B4:H4"/>
    <mergeCell ref="B5:H5"/>
    <mergeCell ref="B6:H6"/>
    <mergeCell ref="E37:G37"/>
    <mergeCell ref="E34:G34"/>
    <mergeCell ref="E35:G35"/>
    <mergeCell ref="E36:G36"/>
    <mergeCell ref="M9:M10"/>
    <mergeCell ref="L9:L10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2C07A-A927-4E54-B5E1-FD240B05EDBE}">
  <dimension ref="A1:Q51"/>
  <sheetViews>
    <sheetView showGridLines="0" zoomScale="53" zoomScaleNormal="53" workbookViewId="0">
      <selection activeCell="Q41" sqref="Q41"/>
    </sheetView>
  </sheetViews>
  <sheetFormatPr baseColWidth="10" defaultColWidth="11.42578125" defaultRowHeight="15" x14ac:dyDescent="0.25"/>
  <cols>
    <col min="1" max="1" width="1.5703125" style="247" customWidth="1"/>
    <col min="2" max="2" width="3.42578125" style="282" customWidth="1"/>
    <col min="3" max="3" width="50.42578125" style="250" customWidth="1"/>
    <col min="4" max="4" width="8.5703125" style="250" customWidth="1"/>
    <col min="5" max="5" width="17.5703125" style="283" customWidth="1"/>
    <col min="6" max="6" width="11.7109375" style="250" customWidth="1"/>
    <col min="7" max="7" width="23.28515625" style="284" customWidth="1"/>
    <col min="8" max="8" width="3.42578125" style="250" customWidth="1"/>
    <col min="9" max="9" width="1.42578125" style="247" customWidth="1"/>
    <col min="10" max="10" width="16.7109375" style="281" customWidth="1"/>
    <col min="11" max="11" width="22" style="247" customWidth="1"/>
    <col min="12" max="12" width="19.28515625" style="247" customWidth="1"/>
    <col min="13" max="13" width="20.85546875" style="247" customWidth="1"/>
    <col min="14" max="14" width="16.28515625" style="247" customWidth="1"/>
    <col min="15" max="15" width="13.5703125" style="260" bestFit="1" customWidth="1"/>
    <col min="16" max="16" width="13.5703125" style="247" bestFit="1" customWidth="1"/>
    <col min="17" max="17" width="12.5703125" style="247" bestFit="1" customWidth="1"/>
    <col min="18" max="18" width="11.42578125" style="247"/>
    <col min="19" max="19" width="12.7109375" style="247" bestFit="1" customWidth="1"/>
    <col min="20" max="16384" width="11.42578125" style="247"/>
  </cols>
  <sheetData>
    <row r="1" spans="2:14" ht="15.75" thickBot="1" x14ac:dyDescent="0.3">
      <c r="B1" s="552"/>
      <c r="C1" s="552"/>
      <c r="D1" s="552"/>
      <c r="E1" s="552"/>
      <c r="F1" s="552"/>
      <c r="G1" s="552"/>
      <c r="H1" s="552"/>
    </row>
    <row r="2" spans="2:14" x14ac:dyDescent="0.25">
      <c r="B2" s="461"/>
      <c r="C2" s="244"/>
      <c r="D2" s="244"/>
      <c r="E2" s="462"/>
      <c r="F2" s="244"/>
      <c r="G2" s="463"/>
      <c r="H2" s="244"/>
      <c r="I2" s="464"/>
    </row>
    <row r="3" spans="2:14" x14ac:dyDescent="0.25">
      <c r="B3" s="560" t="s">
        <v>251</v>
      </c>
      <c r="C3" s="561"/>
      <c r="D3" s="561"/>
      <c r="E3" s="561"/>
      <c r="F3" s="561"/>
      <c r="G3" s="561"/>
      <c r="H3" s="562"/>
      <c r="I3" s="563"/>
      <c r="J3" s="564"/>
      <c r="K3" s="390"/>
      <c r="L3" s="390"/>
      <c r="M3" s="390"/>
    </row>
    <row r="4" spans="2:14" x14ac:dyDescent="0.25">
      <c r="B4" s="560" t="s">
        <v>594</v>
      </c>
      <c r="C4" s="561"/>
      <c r="D4" s="561"/>
      <c r="E4" s="561"/>
      <c r="F4" s="561"/>
      <c r="G4" s="561"/>
      <c r="H4" s="562"/>
      <c r="I4" s="563"/>
      <c r="J4" s="564"/>
      <c r="K4" s="390"/>
      <c r="L4" s="390"/>
      <c r="M4" s="390"/>
    </row>
    <row r="5" spans="2:14" x14ac:dyDescent="0.25">
      <c r="B5" s="392"/>
      <c r="C5" s="565" t="s">
        <v>595</v>
      </c>
      <c r="D5" s="566"/>
      <c r="E5" s="566"/>
      <c r="F5" s="566"/>
      <c r="G5" s="566"/>
      <c r="H5" s="566"/>
      <c r="I5" s="567"/>
      <c r="J5" s="564"/>
      <c r="K5" s="390"/>
      <c r="L5" s="390"/>
      <c r="M5" s="390"/>
    </row>
    <row r="6" spans="2:14" x14ac:dyDescent="0.25">
      <c r="B6" s="560"/>
      <c r="C6" s="561"/>
      <c r="D6" s="561"/>
      <c r="E6" s="561"/>
      <c r="F6" s="561"/>
      <c r="G6" s="561"/>
      <c r="H6" s="562"/>
      <c r="I6" s="563"/>
      <c r="J6" s="564"/>
      <c r="K6" s="390"/>
      <c r="L6" s="390"/>
      <c r="M6" s="390"/>
    </row>
    <row r="7" spans="2:14" x14ac:dyDescent="0.25">
      <c r="B7" s="565" t="s">
        <v>635</v>
      </c>
      <c r="C7" s="566"/>
      <c r="D7" s="566"/>
      <c r="E7" s="566"/>
      <c r="F7" s="566"/>
      <c r="G7" s="566"/>
      <c r="H7" s="567"/>
      <c r="I7" s="563"/>
      <c r="J7" s="564"/>
      <c r="K7" s="390"/>
      <c r="L7" s="390"/>
      <c r="M7" s="390"/>
    </row>
    <row r="8" spans="2:14" x14ac:dyDescent="0.25">
      <c r="B8" s="568"/>
      <c r="C8" s="393"/>
      <c r="D8" s="569"/>
      <c r="E8" s="570"/>
      <c r="F8" s="393"/>
      <c r="G8" s="571"/>
      <c r="H8" s="395"/>
      <c r="I8" s="563"/>
      <c r="J8" s="572">
        <v>0.38</v>
      </c>
      <c r="K8" s="391">
        <v>0.23</v>
      </c>
      <c r="L8" s="391">
        <v>0.1</v>
      </c>
      <c r="M8" s="391">
        <v>0.3</v>
      </c>
    </row>
    <row r="9" spans="2:14" x14ac:dyDescent="0.25">
      <c r="B9" s="568"/>
      <c r="C9" s="573" t="s">
        <v>597</v>
      </c>
      <c r="D9" s="569"/>
      <c r="E9" s="570"/>
      <c r="F9" s="574" t="s">
        <v>598</v>
      </c>
      <c r="G9" s="575">
        <v>45504</v>
      </c>
      <c r="H9" s="395"/>
      <c r="I9" s="563"/>
      <c r="J9" s="576" t="s">
        <v>44</v>
      </c>
      <c r="K9" s="577" t="s">
        <v>76</v>
      </c>
      <c r="L9" s="578" t="s">
        <v>80</v>
      </c>
      <c r="M9" s="579" t="s">
        <v>53</v>
      </c>
    </row>
    <row r="10" spans="2:14" ht="15.75" thickBot="1" x14ac:dyDescent="0.3">
      <c r="B10" s="580"/>
      <c r="C10" s="581"/>
      <c r="D10" s="582"/>
      <c r="E10" s="583"/>
      <c r="F10" s="581"/>
      <c r="G10" s="584"/>
      <c r="H10" s="585"/>
      <c r="I10" s="586"/>
      <c r="J10" s="587"/>
      <c r="K10" s="588"/>
      <c r="L10" s="589"/>
      <c r="M10" s="590"/>
    </row>
    <row r="11" spans="2:14" x14ac:dyDescent="0.25">
      <c r="B11" s="392"/>
      <c r="C11" s="393"/>
      <c r="D11" s="393"/>
      <c r="E11" s="570"/>
      <c r="F11" s="570"/>
      <c r="G11" s="571"/>
      <c r="H11" s="395"/>
      <c r="I11" s="390"/>
      <c r="J11" s="591"/>
      <c r="K11" s="443"/>
      <c r="L11" s="444"/>
      <c r="M11" s="592"/>
    </row>
    <row r="12" spans="2:14" x14ac:dyDescent="0.25">
      <c r="B12" s="392"/>
      <c r="C12" s="393"/>
      <c r="D12" s="393"/>
      <c r="E12" s="570"/>
      <c r="F12" s="570"/>
      <c r="G12" s="571"/>
      <c r="H12" s="395"/>
      <c r="I12" s="390"/>
      <c r="J12" s="593"/>
      <c r="K12" s="447"/>
      <c r="L12" s="448"/>
      <c r="M12" s="594"/>
    </row>
    <row r="13" spans="2:14" x14ac:dyDescent="0.25">
      <c r="B13" s="392"/>
      <c r="C13" s="573" t="s">
        <v>636</v>
      </c>
      <c r="D13" s="393"/>
      <c r="E13" s="570"/>
      <c r="F13" s="573" t="s">
        <v>602</v>
      </c>
      <c r="G13" s="595">
        <f>J13+K13+L13+M13</f>
        <v>9502000</v>
      </c>
      <c r="H13" s="395"/>
      <c r="I13" s="390"/>
      <c r="J13" s="596">
        <f>'BALANCE DE COMPROBACIÓN'!D39</f>
        <v>5040000</v>
      </c>
      <c r="K13" s="451">
        <f>'BALANCE DE COMPROBACIÓN'!D40</f>
        <v>2240000</v>
      </c>
      <c r="L13" s="452">
        <f>'BALANCE DE COMPROBACIÓN'!D41</f>
        <v>1190000</v>
      </c>
      <c r="M13" s="597">
        <f>'BALANCE DE COMPROBACIÓN'!D42</f>
        <v>1032000</v>
      </c>
    </row>
    <row r="14" spans="2:14" x14ac:dyDescent="0.25">
      <c r="B14" s="392"/>
      <c r="C14" s="393"/>
      <c r="D14" s="393"/>
      <c r="E14" s="570"/>
      <c r="F14" s="393"/>
      <c r="G14" s="571"/>
      <c r="H14" s="395"/>
      <c r="I14" s="390"/>
      <c r="J14" s="596"/>
      <c r="K14" s="451"/>
      <c r="L14" s="452"/>
      <c r="M14" s="597"/>
    </row>
    <row r="15" spans="2:14" x14ac:dyDescent="0.25">
      <c r="B15" s="392"/>
      <c r="C15" s="573" t="s">
        <v>637</v>
      </c>
      <c r="D15" s="393"/>
      <c r="E15" s="598"/>
      <c r="F15" s="573" t="s">
        <v>602</v>
      </c>
      <c r="G15" s="571">
        <f>'ESTADO DE COSTOS'!G31</f>
        <v>6780291.7400000002</v>
      </c>
      <c r="H15" s="395"/>
      <c r="I15" s="390"/>
      <c r="J15" s="596">
        <f>N15*38%</f>
        <v>2576510.8612000002</v>
      </c>
      <c r="K15" s="451">
        <f>N15*23%</f>
        <v>1559467.1002000002</v>
      </c>
      <c r="L15" s="452">
        <f>N15*10%</f>
        <v>678029.17400000012</v>
      </c>
      <c r="M15" s="597">
        <f>N15*30%</f>
        <v>2034087.5219999999</v>
      </c>
      <c r="N15" s="302">
        <f>+G15</f>
        <v>6780291.7400000002</v>
      </c>
    </row>
    <row r="16" spans="2:14" ht="15.75" thickBot="1" x14ac:dyDescent="0.3">
      <c r="B16" s="392"/>
      <c r="C16" s="393"/>
      <c r="D16" s="393"/>
      <c r="E16" s="599"/>
      <c r="F16" s="393"/>
      <c r="G16" s="584"/>
      <c r="H16" s="395"/>
      <c r="I16" s="390"/>
      <c r="J16" s="600"/>
      <c r="K16" s="601"/>
      <c r="L16" s="602"/>
      <c r="M16" s="603"/>
    </row>
    <row r="17" spans="2:16" x14ac:dyDescent="0.25">
      <c r="B17" s="392"/>
      <c r="C17" s="573" t="s">
        <v>638</v>
      </c>
      <c r="D17" s="393"/>
      <c r="E17" s="570"/>
      <c r="F17" s="573" t="s">
        <v>602</v>
      </c>
      <c r="G17" s="595">
        <f>J17+K17+L17+M17</f>
        <v>5517098.7400000002</v>
      </c>
      <c r="H17" s="395"/>
      <c r="I17" s="390"/>
      <c r="J17" s="604">
        <f>N17*38%</f>
        <v>2075740.12</v>
      </c>
      <c r="K17" s="605">
        <f>N17*23%</f>
        <v>1256369.02</v>
      </c>
      <c r="L17" s="606">
        <f>N17*10%</f>
        <v>546247.4</v>
      </c>
      <c r="M17" s="607">
        <f>N17*30%</f>
        <v>1638742.2</v>
      </c>
      <c r="N17" s="247">
        <v>5462474</v>
      </c>
    </row>
    <row r="18" spans="2:16" x14ac:dyDescent="0.25">
      <c r="B18" s="392"/>
      <c r="C18" s="393"/>
      <c r="D18" s="393"/>
      <c r="E18" s="570"/>
      <c r="F18" s="393"/>
      <c r="G18" s="595"/>
      <c r="H18" s="395"/>
      <c r="I18" s="390"/>
      <c r="J18" s="608"/>
      <c r="K18" s="609"/>
      <c r="L18" s="610"/>
      <c r="M18" s="611"/>
      <c r="P18" s="293">
        <f>+G20+G23</f>
        <v>3293439.2</v>
      </c>
    </row>
    <row r="19" spans="2:16" x14ac:dyDescent="0.25">
      <c r="B19" s="392"/>
      <c r="C19" s="573" t="s">
        <v>361</v>
      </c>
      <c r="D19" s="393"/>
      <c r="E19" s="570"/>
      <c r="F19" s="573"/>
      <c r="G19" s="571"/>
      <c r="H19" s="395"/>
      <c r="I19" s="390"/>
      <c r="J19" s="608"/>
      <c r="K19" s="609"/>
      <c r="L19" s="610"/>
      <c r="M19" s="611"/>
    </row>
    <row r="20" spans="2:16" x14ac:dyDescent="0.25">
      <c r="B20" s="392"/>
      <c r="C20" s="573" t="s">
        <v>639</v>
      </c>
      <c r="D20" s="393"/>
      <c r="E20" s="570"/>
      <c r="F20" s="393"/>
      <c r="G20" s="571">
        <f>+GASTOS!E18</f>
        <v>3293439.2</v>
      </c>
      <c r="H20" s="395"/>
      <c r="I20" s="390"/>
      <c r="J20" s="608">
        <f>N20*38%</f>
        <v>1061529.6200000001</v>
      </c>
      <c r="K20" s="609">
        <f>N20*23%</f>
        <v>642504.77</v>
      </c>
      <c r="L20" s="610">
        <f>N20*10%</f>
        <v>279349.90000000002</v>
      </c>
      <c r="M20" s="611">
        <f>N20*30%</f>
        <v>838049.7</v>
      </c>
      <c r="N20" s="301">
        <v>2793499</v>
      </c>
    </row>
    <row r="21" spans="2:16" x14ac:dyDescent="0.25">
      <c r="B21" s="392"/>
      <c r="C21" s="612"/>
      <c r="D21" s="393"/>
      <c r="E21" s="570"/>
      <c r="F21" s="393"/>
      <c r="G21" s="571"/>
      <c r="H21" s="395"/>
      <c r="I21" s="390"/>
      <c r="J21" s="608"/>
      <c r="K21" s="609"/>
      <c r="L21" s="610"/>
      <c r="M21" s="611"/>
    </row>
    <row r="22" spans="2:16" x14ac:dyDescent="0.25">
      <c r="B22" s="392"/>
      <c r="C22" s="613" t="s">
        <v>640</v>
      </c>
      <c r="D22" s="393"/>
      <c r="E22" s="570"/>
      <c r="F22" s="393"/>
      <c r="G22" s="571"/>
      <c r="H22" s="395"/>
      <c r="I22" s="390"/>
      <c r="J22" s="608"/>
      <c r="K22" s="609"/>
      <c r="L22" s="610"/>
      <c r="M22" s="611"/>
    </row>
    <row r="23" spans="2:16" x14ac:dyDescent="0.25">
      <c r="B23" s="392"/>
      <c r="C23" s="612" t="s">
        <v>641</v>
      </c>
      <c r="D23" s="393"/>
      <c r="E23" s="570"/>
      <c r="F23" s="393"/>
      <c r="G23" s="571">
        <v>0</v>
      </c>
      <c r="H23" s="395"/>
      <c r="I23" s="390"/>
      <c r="J23" s="608"/>
      <c r="K23" s="609"/>
      <c r="L23" s="610"/>
      <c r="M23" s="611"/>
    </row>
    <row r="24" spans="2:16" ht="12.6" customHeight="1" x14ac:dyDescent="0.25">
      <c r="B24" s="392"/>
      <c r="C24" s="612"/>
      <c r="D24" s="393"/>
      <c r="E24" s="570"/>
      <c r="F24" s="393"/>
      <c r="G24" s="571"/>
      <c r="H24" s="395"/>
      <c r="I24" s="390"/>
      <c r="J24" s="608"/>
      <c r="K24" s="609"/>
      <c r="L24" s="610"/>
      <c r="M24" s="611"/>
    </row>
    <row r="25" spans="2:16" x14ac:dyDescent="0.25">
      <c r="B25" s="392"/>
      <c r="C25" s="573" t="s">
        <v>358</v>
      </c>
      <c r="D25" s="393"/>
      <c r="E25" s="570"/>
      <c r="F25" s="393"/>
      <c r="G25" s="571"/>
      <c r="H25" s="395"/>
      <c r="I25" s="390"/>
      <c r="J25" s="608"/>
      <c r="K25" s="609"/>
      <c r="L25" s="610"/>
      <c r="M25" s="611"/>
    </row>
    <row r="26" spans="2:16" x14ac:dyDescent="0.25">
      <c r="B26" s="392"/>
      <c r="C26" s="573" t="s">
        <v>642</v>
      </c>
      <c r="D26" s="393"/>
      <c r="E26" s="570"/>
      <c r="F26" s="573" t="s">
        <v>602</v>
      </c>
      <c r="G26" s="571">
        <v>0</v>
      </c>
      <c r="H26" s="395"/>
      <c r="I26" s="390"/>
      <c r="J26" s="596">
        <v>0</v>
      </c>
      <c r="K26" s="451">
        <v>0</v>
      </c>
      <c r="L26" s="452">
        <v>0</v>
      </c>
      <c r="M26" s="597">
        <v>0</v>
      </c>
    </row>
    <row r="27" spans="2:16" ht="15.75" thickBot="1" x14ac:dyDescent="0.3">
      <c r="B27" s="392"/>
      <c r="C27" s="573"/>
      <c r="D27" s="393"/>
      <c r="E27" s="570"/>
      <c r="F27" s="393"/>
      <c r="G27" s="584"/>
      <c r="H27" s="395"/>
      <c r="I27" s="390"/>
      <c r="J27" s="600"/>
      <c r="K27" s="601"/>
      <c r="L27" s="602"/>
      <c r="M27" s="603"/>
    </row>
    <row r="28" spans="2:16" x14ac:dyDescent="0.25">
      <c r="B28" s="392"/>
      <c r="C28" s="573" t="s">
        <v>643</v>
      </c>
      <c r="D28" s="393"/>
      <c r="E28" s="570"/>
      <c r="F28" s="573" t="s">
        <v>602</v>
      </c>
      <c r="G28" s="595">
        <f>+G17-G20-G23+G26</f>
        <v>2223659.54</v>
      </c>
      <c r="H28" s="395"/>
      <c r="I28" s="390"/>
      <c r="J28" s="604">
        <f>+J17-J20-J23+J26</f>
        <v>1014210.5</v>
      </c>
      <c r="K28" s="605">
        <f>+K17-K20-K23</f>
        <v>613864.25</v>
      </c>
      <c r="L28" s="606">
        <f>+L17-L20-L23</f>
        <v>266897.5</v>
      </c>
      <c r="M28" s="607">
        <f>+M17-M20-M23</f>
        <v>800692.5</v>
      </c>
    </row>
    <row r="29" spans="2:16" x14ac:dyDescent="0.25">
      <c r="B29" s="392"/>
      <c r="C29" s="573"/>
      <c r="D29" s="393"/>
      <c r="E29" s="570"/>
      <c r="F29" s="573"/>
      <c r="G29" s="595"/>
      <c r="H29" s="395"/>
      <c r="I29" s="390"/>
      <c r="J29" s="596"/>
      <c r="K29" s="451"/>
      <c r="L29" s="452"/>
      <c r="M29" s="597"/>
    </row>
    <row r="30" spans="2:16" x14ac:dyDescent="0.25">
      <c r="B30" s="392"/>
      <c r="C30" s="573" t="s">
        <v>644</v>
      </c>
      <c r="D30" s="393"/>
      <c r="E30" s="614"/>
      <c r="F30" s="573" t="s">
        <v>602</v>
      </c>
      <c r="G30" s="571">
        <f>J30+K30+L30+M30</f>
        <v>943482.66249999998</v>
      </c>
      <c r="H30" s="395"/>
      <c r="I30" s="390"/>
      <c r="J30" s="615">
        <f>J28*35%</f>
        <v>354973.67499999999</v>
      </c>
      <c r="K30" s="616">
        <f>K28*35%</f>
        <v>214852.48749999999</v>
      </c>
      <c r="L30" s="617">
        <f>L28*35%</f>
        <v>93414.125</v>
      </c>
      <c r="M30" s="618">
        <f>M28*35%</f>
        <v>280242.375</v>
      </c>
    </row>
    <row r="31" spans="2:16" ht="15.75" thickBot="1" x14ac:dyDescent="0.3">
      <c r="B31" s="392"/>
      <c r="C31" s="393"/>
      <c r="D31" s="393"/>
      <c r="E31" s="570"/>
      <c r="F31" s="393"/>
      <c r="G31" s="584"/>
      <c r="H31" s="395"/>
      <c r="I31" s="390"/>
      <c r="J31" s="600"/>
      <c r="K31" s="601"/>
      <c r="L31" s="602"/>
      <c r="M31" s="603"/>
    </row>
    <row r="32" spans="2:16" x14ac:dyDescent="0.25">
      <c r="B32" s="392"/>
      <c r="C32" s="573" t="s">
        <v>645</v>
      </c>
      <c r="D32" s="619" t="s">
        <v>602</v>
      </c>
      <c r="E32" s="570"/>
      <c r="F32" s="619" t="s">
        <v>600</v>
      </c>
      <c r="G32" s="595">
        <f>+G28-G30</f>
        <v>1280176.8774999999</v>
      </c>
      <c r="H32" s="395"/>
      <c r="I32" s="390"/>
      <c r="J32" s="608">
        <f>+J28-J30</f>
        <v>659236.82499999995</v>
      </c>
      <c r="K32" s="609">
        <f>+K28-K30</f>
        <v>399011.76250000001</v>
      </c>
      <c r="L32" s="610">
        <f>+L28-L30</f>
        <v>173483.375</v>
      </c>
      <c r="M32" s="611">
        <f>+M28-M30</f>
        <v>520450.125</v>
      </c>
    </row>
    <row r="33" spans="1:17" x14ac:dyDescent="0.25">
      <c r="B33" s="392"/>
      <c r="C33" s="393"/>
      <c r="D33" s="569"/>
      <c r="E33" s="570"/>
      <c r="F33" s="570"/>
      <c r="G33" s="571"/>
      <c r="H33" s="395"/>
      <c r="I33" s="390"/>
      <c r="J33" s="608"/>
      <c r="K33" s="609"/>
      <c r="L33" s="610"/>
      <c r="M33" s="611"/>
    </row>
    <row r="34" spans="1:17" x14ac:dyDescent="0.25">
      <c r="B34" s="392"/>
      <c r="C34" s="393" t="s">
        <v>646</v>
      </c>
      <c r="D34" s="569" t="s">
        <v>602</v>
      </c>
      <c r="E34" s="570"/>
      <c r="F34" s="570"/>
      <c r="G34" s="571">
        <f>J34+K34+L34+M34</f>
        <v>175218.20875000002</v>
      </c>
      <c r="H34" s="395"/>
      <c r="I34" s="390"/>
      <c r="J34" s="608">
        <f>+J32*10%</f>
        <v>65923.682499999995</v>
      </c>
      <c r="K34" s="609">
        <f>+K32*10%</f>
        <v>39901.176250000004</v>
      </c>
      <c r="L34" s="610">
        <f>+L32*10%</f>
        <v>17348.337500000001</v>
      </c>
      <c r="M34" s="611">
        <f>+M32*10%</f>
        <v>52045.012500000004</v>
      </c>
    </row>
    <row r="35" spans="1:17" ht="15.75" thickBot="1" x14ac:dyDescent="0.3">
      <c r="B35" s="392"/>
      <c r="C35" s="573"/>
      <c r="D35" s="569"/>
      <c r="E35" s="570"/>
      <c r="F35" s="570"/>
      <c r="G35" s="584"/>
      <c r="H35" s="395"/>
      <c r="I35" s="390"/>
      <c r="J35" s="604"/>
      <c r="K35" s="605"/>
      <c r="L35" s="606"/>
      <c r="M35" s="607"/>
    </row>
    <row r="36" spans="1:17" ht="15.75" thickBot="1" x14ac:dyDescent="0.3">
      <c r="B36" s="392"/>
      <c r="C36" s="573" t="s">
        <v>647</v>
      </c>
      <c r="D36" s="619" t="s">
        <v>602</v>
      </c>
      <c r="E36" s="570"/>
      <c r="F36" s="619" t="s">
        <v>600</v>
      </c>
      <c r="G36" s="620">
        <f>+G32-G34</f>
        <v>1104958.66875</v>
      </c>
      <c r="H36" s="395"/>
      <c r="I36" s="390"/>
      <c r="J36" s="621">
        <f>+J32-J34</f>
        <v>593313.14249999996</v>
      </c>
      <c r="K36" s="622">
        <f>+K32-K34</f>
        <v>359110.58624999999</v>
      </c>
      <c r="L36" s="623">
        <f>+L32-L34</f>
        <v>156135.03750000001</v>
      </c>
      <c r="M36" s="624">
        <f>+M32-M34</f>
        <v>468405.11249999999</v>
      </c>
    </row>
    <row r="37" spans="1:17" ht="8.4499999999999993" customHeight="1" thickTop="1" thickBot="1" x14ac:dyDescent="0.3">
      <c r="B37" s="294"/>
      <c r="C37" s="256"/>
      <c r="D37" s="256"/>
      <c r="E37" s="289"/>
      <c r="F37" s="289"/>
      <c r="G37" s="290"/>
      <c r="H37" s="291"/>
      <c r="J37" s="295"/>
      <c r="K37" s="254"/>
      <c r="L37" s="254"/>
      <c r="M37" s="254"/>
    </row>
    <row r="38" spans="1:17" ht="0.6" customHeight="1" x14ac:dyDescent="0.25">
      <c r="B38" s="285"/>
      <c r="C38" s="296"/>
      <c r="D38" s="296"/>
      <c r="E38" s="296"/>
      <c r="F38" s="296"/>
      <c r="G38" s="297"/>
      <c r="H38" s="252"/>
      <c r="J38" s="295"/>
      <c r="K38" s="254"/>
      <c r="L38" s="254"/>
      <c r="M38" s="254"/>
    </row>
    <row r="39" spans="1:17" x14ac:dyDescent="0.25">
      <c r="B39" s="285"/>
      <c r="C39" s="296"/>
      <c r="D39" s="296"/>
      <c r="E39" s="296"/>
      <c r="F39" s="296"/>
      <c r="G39" s="297"/>
      <c r="H39" s="252"/>
      <c r="J39" s="295"/>
      <c r="K39" s="254"/>
      <c r="L39" s="254"/>
      <c r="M39" s="254"/>
    </row>
    <row r="40" spans="1:17" x14ac:dyDescent="0.25">
      <c r="B40" s="285"/>
      <c r="C40" s="296"/>
      <c r="D40" s="296"/>
      <c r="E40" s="296"/>
      <c r="F40" s="296"/>
      <c r="G40" s="297"/>
      <c r="H40" s="252"/>
    </row>
    <row r="41" spans="1:17" x14ac:dyDescent="0.25">
      <c r="B41" s="285"/>
      <c r="C41" s="296"/>
      <c r="D41" s="296"/>
      <c r="E41" s="296"/>
      <c r="F41" s="296"/>
      <c r="G41" s="297"/>
      <c r="H41" s="252"/>
    </row>
    <row r="42" spans="1:17" x14ac:dyDescent="0.25">
      <c r="B42" s="285"/>
      <c r="C42" s="296"/>
      <c r="D42" s="296"/>
      <c r="E42" s="296"/>
      <c r="F42" s="296"/>
      <c r="G42" s="297"/>
      <c r="H42" s="252"/>
    </row>
    <row r="43" spans="1:17" x14ac:dyDescent="0.25">
      <c r="B43" s="285"/>
      <c r="C43" s="248" t="s">
        <v>618</v>
      </c>
      <c r="D43" s="296"/>
      <c r="E43" s="553" t="s">
        <v>621</v>
      </c>
      <c r="F43" s="553"/>
      <c r="G43" s="553"/>
      <c r="H43" s="252"/>
    </row>
    <row r="44" spans="1:17" x14ac:dyDescent="0.25">
      <c r="B44" s="285"/>
      <c r="C44" s="248" t="s">
        <v>619</v>
      </c>
      <c r="D44" s="296"/>
      <c r="E44" s="554"/>
      <c r="F44" s="554"/>
      <c r="G44" s="554"/>
      <c r="H44" s="252"/>
    </row>
    <row r="45" spans="1:17" ht="15.75" thickBot="1" x14ac:dyDescent="0.3">
      <c r="B45" s="294"/>
      <c r="C45" s="258" t="s">
        <v>620</v>
      </c>
      <c r="D45" s="555" t="s">
        <v>648</v>
      </c>
      <c r="E45" s="555"/>
      <c r="F45" s="555"/>
      <c r="G45" s="555"/>
      <c r="H45" s="291"/>
    </row>
    <row r="46" spans="1:17" x14ac:dyDescent="0.25">
      <c r="A46" s="257"/>
      <c r="B46" s="257"/>
      <c r="E46" s="287"/>
      <c r="G46" s="288"/>
      <c r="H46" s="247"/>
      <c r="J46" s="298"/>
      <c r="K46" s="281"/>
      <c r="L46" s="281"/>
      <c r="M46" s="281"/>
      <c r="N46" s="281"/>
      <c r="O46" s="299"/>
      <c r="P46" s="281"/>
      <c r="Q46" s="281"/>
    </row>
    <row r="47" spans="1:17" x14ac:dyDescent="0.25">
      <c r="A47" s="257"/>
      <c r="B47" s="257"/>
      <c r="C47" s="257"/>
      <c r="D47" s="249"/>
      <c r="E47" s="249"/>
      <c r="F47" s="249"/>
      <c r="G47" s="300"/>
      <c r="H47" s="292"/>
      <c r="J47" s="298"/>
      <c r="K47" s="281"/>
      <c r="L47" s="281"/>
      <c r="M47" s="281"/>
      <c r="N47" s="281"/>
      <c r="O47" s="299"/>
      <c r="P47" s="281"/>
      <c r="Q47" s="281"/>
    </row>
    <row r="48" spans="1:17" x14ac:dyDescent="0.25">
      <c r="A48" s="556"/>
      <c r="B48" s="556"/>
      <c r="C48" s="556"/>
      <c r="D48" s="286"/>
      <c r="E48" s="541"/>
      <c r="F48" s="541"/>
      <c r="G48" s="541"/>
      <c r="H48" s="292"/>
      <c r="J48" s="298"/>
      <c r="K48" s="281"/>
      <c r="L48" s="281"/>
      <c r="M48" s="281"/>
      <c r="N48" s="281"/>
      <c r="O48" s="299"/>
      <c r="P48" s="281"/>
      <c r="Q48" s="281"/>
    </row>
    <row r="49" spans="2:8" x14ac:dyDescent="0.25">
      <c r="C49" s="296"/>
      <c r="D49" s="296"/>
      <c r="E49" s="296"/>
      <c r="F49" s="296"/>
      <c r="G49" s="297"/>
    </row>
    <row r="50" spans="2:8" x14ac:dyDescent="0.25">
      <c r="C50" s="296"/>
      <c r="D50" s="296"/>
      <c r="E50" s="296"/>
      <c r="F50" s="296"/>
      <c r="G50" s="297"/>
    </row>
    <row r="51" spans="2:8" x14ac:dyDescent="0.25">
      <c r="B51" s="552"/>
      <c r="C51" s="552"/>
      <c r="D51" s="552"/>
      <c r="E51" s="552"/>
      <c r="F51" s="552"/>
      <c r="G51" s="552"/>
      <c r="H51" s="552"/>
    </row>
  </sheetData>
  <mergeCells count="16">
    <mergeCell ref="E44:G44"/>
    <mergeCell ref="D45:G45"/>
    <mergeCell ref="A48:C48"/>
    <mergeCell ref="E48:G48"/>
    <mergeCell ref="B51:H51"/>
    <mergeCell ref="J9:J10"/>
    <mergeCell ref="K9:K10"/>
    <mergeCell ref="L9:L10"/>
    <mergeCell ref="M9:M10"/>
    <mergeCell ref="E43:G43"/>
    <mergeCell ref="B7:H7"/>
    <mergeCell ref="B1:H1"/>
    <mergeCell ref="B3:H3"/>
    <mergeCell ref="B4:H4"/>
    <mergeCell ref="C5:I5"/>
    <mergeCell ref="B6:H6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210BA-0988-4799-B264-5A3736AB93D8}">
  <sheetPr>
    <tabColor theme="1" tint="4.9989318521683403E-2"/>
  </sheetPr>
  <dimension ref="B1:P100"/>
  <sheetViews>
    <sheetView showGridLines="0" topLeftCell="C1" zoomScale="90" zoomScaleNormal="90" workbookViewId="0">
      <selection activeCell="E54" sqref="E54"/>
    </sheetView>
  </sheetViews>
  <sheetFormatPr baseColWidth="10" defaultColWidth="11.42578125" defaultRowHeight="15" x14ac:dyDescent="0.25"/>
  <cols>
    <col min="1" max="2" width="3" style="306" customWidth="1"/>
    <col min="3" max="3" width="46" style="307" customWidth="1"/>
    <col min="4" max="4" width="2.85546875" style="308" customWidth="1"/>
    <col min="5" max="5" width="18.85546875" style="309" bestFit="1" customWidth="1"/>
    <col min="6" max="6" width="2.28515625" style="307" customWidth="1"/>
    <col min="7" max="7" width="50.140625" style="307" customWidth="1"/>
    <col min="8" max="8" width="3.7109375" style="308" customWidth="1"/>
    <col min="9" max="9" width="18.85546875" style="306" bestFit="1" customWidth="1"/>
    <col min="10" max="10" width="3.5703125" style="306" customWidth="1"/>
    <col min="11" max="11" width="3.28515625" style="306" customWidth="1"/>
    <col min="12" max="12" width="38.7109375" style="306" customWidth="1"/>
    <col min="13" max="13" width="3.140625" style="306" customWidth="1"/>
    <col min="14" max="14" width="18.140625" style="306" customWidth="1"/>
    <col min="15" max="256" width="11.42578125" style="306"/>
    <col min="257" max="258" width="3" style="306" customWidth="1"/>
    <col min="259" max="259" width="46" style="306" customWidth="1"/>
    <col min="260" max="260" width="2.85546875" style="306" customWidth="1"/>
    <col min="261" max="261" width="18.85546875" style="306" bestFit="1" customWidth="1"/>
    <col min="262" max="262" width="2.28515625" style="306" customWidth="1"/>
    <col min="263" max="263" width="50.140625" style="306" customWidth="1"/>
    <col min="264" max="264" width="3.7109375" style="306" customWidth="1"/>
    <col min="265" max="265" width="18.85546875" style="306" bestFit="1" customWidth="1"/>
    <col min="266" max="266" width="3.5703125" style="306" customWidth="1"/>
    <col min="267" max="267" width="3.28515625" style="306" customWidth="1"/>
    <col min="268" max="268" width="38.7109375" style="306" customWidth="1"/>
    <col min="269" max="269" width="3.140625" style="306" customWidth="1"/>
    <col min="270" max="270" width="18.140625" style="306" customWidth="1"/>
    <col min="271" max="512" width="11.42578125" style="306"/>
    <col min="513" max="514" width="3" style="306" customWidth="1"/>
    <col min="515" max="515" width="46" style="306" customWidth="1"/>
    <col min="516" max="516" width="2.85546875" style="306" customWidth="1"/>
    <col min="517" max="517" width="18.85546875" style="306" bestFit="1" customWidth="1"/>
    <col min="518" max="518" width="2.28515625" style="306" customWidth="1"/>
    <col min="519" max="519" width="50.140625" style="306" customWidth="1"/>
    <col min="520" max="520" width="3.7109375" style="306" customWidth="1"/>
    <col min="521" max="521" width="18.85546875" style="306" bestFit="1" customWidth="1"/>
    <col min="522" max="522" width="3.5703125" style="306" customWidth="1"/>
    <col min="523" max="523" width="3.28515625" style="306" customWidth="1"/>
    <col min="524" max="524" width="38.7109375" style="306" customWidth="1"/>
    <col min="525" max="525" width="3.140625" style="306" customWidth="1"/>
    <col min="526" max="526" width="18.140625" style="306" customWidth="1"/>
    <col min="527" max="768" width="11.42578125" style="306"/>
    <col min="769" max="770" width="3" style="306" customWidth="1"/>
    <col min="771" max="771" width="46" style="306" customWidth="1"/>
    <col min="772" max="772" width="2.85546875" style="306" customWidth="1"/>
    <col min="773" max="773" width="18.85546875" style="306" bestFit="1" customWidth="1"/>
    <col min="774" max="774" width="2.28515625" style="306" customWidth="1"/>
    <col min="775" max="775" width="50.140625" style="306" customWidth="1"/>
    <col min="776" max="776" width="3.7109375" style="306" customWidth="1"/>
    <col min="777" max="777" width="18.85546875" style="306" bestFit="1" customWidth="1"/>
    <col min="778" max="778" width="3.5703125" style="306" customWidth="1"/>
    <col min="779" max="779" width="3.28515625" style="306" customWidth="1"/>
    <col min="780" max="780" width="38.7109375" style="306" customWidth="1"/>
    <col min="781" max="781" width="3.140625" style="306" customWidth="1"/>
    <col min="782" max="782" width="18.140625" style="306" customWidth="1"/>
    <col min="783" max="1024" width="11.42578125" style="306"/>
    <col min="1025" max="1026" width="3" style="306" customWidth="1"/>
    <col min="1027" max="1027" width="46" style="306" customWidth="1"/>
    <col min="1028" max="1028" width="2.85546875" style="306" customWidth="1"/>
    <col min="1029" max="1029" width="18.85546875" style="306" bestFit="1" customWidth="1"/>
    <col min="1030" max="1030" width="2.28515625" style="306" customWidth="1"/>
    <col min="1031" max="1031" width="50.140625" style="306" customWidth="1"/>
    <col min="1032" max="1032" width="3.7109375" style="306" customWidth="1"/>
    <col min="1033" max="1033" width="18.85546875" style="306" bestFit="1" customWidth="1"/>
    <col min="1034" max="1034" width="3.5703125" style="306" customWidth="1"/>
    <col min="1035" max="1035" width="3.28515625" style="306" customWidth="1"/>
    <col min="1036" max="1036" width="38.7109375" style="306" customWidth="1"/>
    <col min="1037" max="1037" width="3.140625" style="306" customWidth="1"/>
    <col min="1038" max="1038" width="18.140625" style="306" customWidth="1"/>
    <col min="1039" max="1280" width="11.42578125" style="306"/>
    <col min="1281" max="1282" width="3" style="306" customWidth="1"/>
    <col min="1283" max="1283" width="46" style="306" customWidth="1"/>
    <col min="1284" max="1284" width="2.85546875" style="306" customWidth="1"/>
    <col min="1285" max="1285" width="18.85546875" style="306" bestFit="1" customWidth="1"/>
    <col min="1286" max="1286" width="2.28515625" style="306" customWidth="1"/>
    <col min="1287" max="1287" width="50.140625" style="306" customWidth="1"/>
    <col min="1288" max="1288" width="3.7109375" style="306" customWidth="1"/>
    <col min="1289" max="1289" width="18.85546875" style="306" bestFit="1" customWidth="1"/>
    <col min="1290" max="1290" width="3.5703125" style="306" customWidth="1"/>
    <col min="1291" max="1291" width="3.28515625" style="306" customWidth="1"/>
    <col min="1292" max="1292" width="38.7109375" style="306" customWidth="1"/>
    <col min="1293" max="1293" width="3.140625" style="306" customWidth="1"/>
    <col min="1294" max="1294" width="18.140625" style="306" customWidth="1"/>
    <col min="1295" max="1536" width="11.42578125" style="306"/>
    <col min="1537" max="1538" width="3" style="306" customWidth="1"/>
    <col min="1539" max="1539" width="46" style="306" customWidth="1"/>
    <col min="1540" max="1540" width="2.85546875" style="306" customWidth="1"/>
    <col min="1541" max="1541" width="18.85546875" style="306" bestFit="1" customWidth="1"/>
    <col min="1542" max="1542" width="2.28515625" style="306" customWidth="1"/>
    <col min="1543" max="1543" width="50.140625" style="306" customWidth="1"/>
    <col min="1544" max="1544" width="3.7109375" style="306" customWidth="1"/>
    <col min="1545" max="1545" width="18.85546875" style="306" bestFit="1" customWidth="1"/>
    <col min="1546" max="1546" width="3.5703125" style="306" customWidth="1"/>
    <col min="1547" max="1547" width="3.28515625" style="306" customWidth="1"/>
    <col min="1548" max="1548" width="38.7109375" style="306" customWidth="1"/>
    <col min="1549" max="1549" width="3.140625" style="306" customWidth="1"/>
    <col min="1550" max="1550" width="18.140625" style="306" customWidth="1"/>
    <col min="1551" max="1792" width="11.42578125" style="306"/>
    <col min="1793" max="1794" width="3" style="306" customWidth="1"/>
    <col min="1795" max="1795" width="46" style="306" customWidth="1"/>
    <col min="1796" max="1796" width="2.85546875" style="306" customWidth="1"/>
    <col min="1797" max="1797" width="18.85546875" style="306" bestFit="1" customWidth="1"/>
    <col min="1798" max="1798" width="2.28515625" style="306" customWidth="1"/>
    <col min="1799" max="1799" width="50.140625" style="306" customWidth="1"/>
    <col min="1800" max="1800" width="3.7109375" style="306" customWidth="1"/>
    <col min="1801" max="1801" width="18.85546875" style="306" bestFit="1" customWidth="1"/>
    <col min="1802" max="1802" width="3.5703125" style="306" customWidth="1"/>
    <col min="1803" max="1803" width="3.28515625" style="306" customWidth="1"/>
    <col min="1804" max="1804" width="38.7109375" style="306" customWidth="1"/>
    <col min="1805" max="1805" width="3.140625" style="306" customWidth="1"/>
    <col min="1806" max="1806" width="18.140625" style="306" customWidth="1"/>
    <col min="1807" max="2048" width="11.42578125" style="306"/>
    <col min="2049" max="2050" width="3" style="306" customWidth="1"/>
    <col min="2051" max="2051" width="46" style="306" customWidth="1"/>
    <col min="2052" max="2052" width="2.85546875" style="306" customWidth="1"/>
    <col min="2053" max="2053" width="18.85546875" style="306" bestFit="1" customWidth="1"/>
    <col min="2054" max="2054" width="2.28515625" style="306" customWidth="1"/>
    <col min="2055" max="2055" width="50.140625" style="306" customWidth="1"/>
    <col min="2056" max="2056" width="3.7109375" style="306" customWidth="1"/>
    <col min="2057" max="2057" width="18.85546875" style="306" bestFit="1" customWidth="1"/>
    <col min="2058" max="2058" width="3.5703125" style="306" customWidth="1"/>
    <col min="2059" max="2059" width="3.28515625" style="306" customWidth="1"/>
    <col min="2060" max="2060" width="38.7109375" style="306" customWidth="1"/>
    <col min="2061" max="2061" width="3.140625" style="306" customWidth="1"/>
    <col min="2062" max="2062" width="18.140625" style="306" customWidth="1"/>
    <col min="2063" max="2304" width="11.42578125" style="306"/>
    <col min="2305" max="2306" width="3" style="306" customWidth="1"/>
    <col min="2307" max="2307" width="46" style="306" customWidth="1"/>
    <col min="2308" max="2308" width="2.85546875" style="306" customWidth="1"/>
    <col min="2309" max="2309" width="18.85546875" style="306" bestFit="1" customWidth="1"/>
    <col min="2310" max="2310" width="2.28515625" style="306" customWidth="1"/>
    <col min="2311" max="2311" width="50.140625" style="306" customWidth="1"/>
    <col min="2312" max="2312" width="3.7109375" style="306" customWidth="1"/>
    <col min="2313" max="2313" width="18.85546875" style="306" bestFit="1" customWidth="1"/>
    <col min="2314" max="2314" width="3.5703125" style="306" customWidth="1"/>
    <col min="2315" max="2315" width="3.28515625" style="306" customWidth="1"/>
    <col min="2316" max="2316" width="38.7109375" style="306" customWidth="1"/>
    <col min="2317" max="2317" width="3.140625" style="306" customWidth="1"/>
    <col min="2318" max="2318" width="18.140625" style="306" customWidth="1"/>
    <col min="2319" max="2560" width="11.42578125" style="306"/>
    <col min="2561" max="2562" width="3" style="306" customWidth="1"/>
    <col min="2563" max="2563" width="46" style="306" customWidth="1"/>
    <col min="2564" max="2564" width="2.85546875" style="306" customWidth="1"/>
    <col min="2565" max="2565" width="18.85546875" style="306" bestFit="1" customWidth="1"/>
    <col min="2566" max="2566" width="2.28515625" style="306" customWidth="1"/>
    <col min="2567" max="2567" width="50.140625" style="306" customWidth="1"/>
    <col min="2568" max="2568" width="3.7109375" style="306" customWidth="1"/>
    <col min="2569" max="2569" width="18.85546875" style="306" bestFit="1" customWidth="1"/>
    <col min="2570" max="2570" width="3.5703125" style="306" customWidth="1"/>
    <col min="2571" max="2571" width="3.28515625" style="306" customWidth="1"/>
    <col min="2572" max="2572" width="38.7109375" style="306" customWidth="1"/>
    <col min="2573" max="2573" width="3.140625" style="306" customWidth="1"/>
    <col min="2574" max="2574" width="18.140625" style="306" customWidth="1"/>
    <col min="2575" max="2816" width="11.42578125" style="306"/>
    <col min="2817" max="2818" width="3" style="306" customWidth="1"/>
    <col min="2819" max="2819" width="46" style="306" customWidth="1"/>
    <col min="2820" max="2820" width="2.85546875" style="306" customWidth="1"/>
    <col min="2821" max="2821" width="18.85546875" style="306" bestFit="1" customWidth="1"/>
    <col min="2822" max="2822" width="2.28515625" style="306" customWidth="1"/>
    <col min="2823" max="2823" width="50.140625" style="306" customWidth="1"/>
    <col min="2824" max="2824" width="3.7109375" style="306" customWidth="1"/>
    <col min="2825" max="2825" width="18.85546875" style="306" bestFit="1" customWidth="1"/>
    <col min="2826" max="2826" width="3.5703125" style="306" customWidth="1"/>
    <col min="2827" max="2827" width="3.28515625" style="306" customWidth="1"/>
    <col min="2828" max="2828" width="38.7109375" style="306" customWidth="1"/>
    <col min="2829" max="2829" width="3.140625" style="306" customWidth="1"/>
    <col min="2830" max="2830" width="18.140625" style="306" customWidth="1"/>
    <col min="2831" max="3072" width="11.42578125" style="306"/>
    <col min="3073" max="3074" width="3" style="306" customWidth="1"/>
    <col min="3075" max="3075" width="46" style="306" customWidth="1"/>
    <col min="3076" max="3076" width="2.85546875" style="306" customWidth="1"/>
    <col min="3077" max="3077" width="18.85546875" style="306" bestFit="1" customWidth="1"/>
    <col min="3078" max="3078" width="2.28515625" style="306" customWidth="1"/>
    <col min="3079" max="3079" width="50.140625" style="306" customWidth="1"/>
    <col min="3080" max="3080" width="3.7109375" style="306" customWidth="1"/>
    <col min="3081" max="3081" width="18.85546875" style="306" bestFit="1" customWidth="1"/>
    <col min="3082" max="3082" width="3.5703125" style="306" customWidth="1"/>
    <col min="3083" max="3083" width="3.28515625" style="306" customWidth="1"/>
    <col min="3084" max="3084" width="38.7109375" style="306" customWidth="1"/>
    <col min="3085" max="3085" width="3.140625" style="306" customWidth="1"/>
    <col min="3086" max="3086" width="18.140625" style="306" customWidth="1"/>
    <col min="3087" max="3328" width="11.42578125" style="306"/>
    <col min="3329" max="3330" width="3" style="306" customWidth="1"/>
    <col min="3331" max="3331" width="46" style="306" customWidth="1"/>
    <col min="3332" max="3332" width="2.85546875" style="306" customWidth="1"/>
    <col min="3333" max="3333" width="18.85546875" style="306" bestFit="1" customWidth="1"/>
    <col min="3334" max="3334" width="2.28515625" style="306" customWidth="1"/>
    <col min="3335" max="3335" width="50.140625" style="306" customWidth="1"/>
    <col min="3336" max="3336" width="3.7109375" style="306" customWidth="1"/>
    <col min="3337" max="3337" width="18.85546875" style="306" bestFit="1" customWidth="1"/>
    <col min="3338" max="3338" width="3.5703125" style="306" customWidth="1"/>
    <col min="3339" max="3339" width="3.28515625" style="306" customWidth="1"/>
    <col min="3340" max="3340" width="38.7109375" style="306" customWidth="1"/>
    <col min="3341" max="3341" width="3.140625" style="306" customWidth="1"/>
    <col min="3342" max="3342" width="18.140625" style="306" customWidth="1"/>
    <col min="3343" max="3584" width="11.42578125" style="306"/>
    <col min="3585" max="3586" width="3" style="306" customWidth="1"/>
    <col min="3587" max="3587" width="46" style="306" customWidth="1"/>
    <col min="3588" max="3588" width="2.85546875" style="306" customWidth="1"/>
    <col min="3589" max="3589" width="18.85546875" style="306" bestFit="1" customWidth="1"/>
    <col min="3590" max="3590" width="2.28515625" style="306" customWidth="1"/>
    <col min="3591" max="3591" width="50.140625" style="306" customWidth="1"/>
    <col min="3592" max="3592" width="3.7109375" style="306" customWidth="1"/>
    <col min="3593" max="3593" width="18.85546875" style="306" bestFit="1" customWidth="1"/>
    <col min="3594" max="3594" width="3.5703125" style="306" customWidth="1"/>
    <col min="3595" max="3595" width="3.28515625" style="306" customWidth="1"/>
    <col min="3596" max="3596" width="38.7109375" style="306" customWidth="1"/>
    <col min="3597" max="3597" width="3.140625" style="306" customWidth="1"/>
    <col min="3598" max="3598" width="18.140625" style="306" customWidth="1"/>
    <col min="3599" max="3840" width="11.42578125" style="306"/>
    <col min="3841" max="3842" width="3" style="306" customWidth="1"/>
    <col min="3843" max="3843" width="46" style="306" customWidth="1"/>
    <col min="3844" max="3844" width="2.85546875" style="306" customWidth="1"/>
    <col min="3845" max="3845" width="18.85546875" style="306" bestFit="1" customWidth="1"/>
    <col min="3846" max="3846" width="2.28515625" style="306" customWidth="1"/>
    <col min="3847" max="3847" width="50.140625" style="306" customWidth="1"/>
    <col min="3848" max="3848" width="3.7109375" style="306" customWidth="1"/>
    <col min="3849" max="3849" width="18.85546875" style="306" bestFit="1" customWidth="1"/>
    <col min="3850" max="3850" width="3.5703125" style="306" customWidth="1"/>
    <col min="3851" max="3851" width="3.28515625" style="306" customWidth="1"/>
    <col min="3852" max="3852" width="38.7109375" style="306" customWidth="1"/>
    <col min="3853" max="3853" width="3.140625" style="306" customWidth="1"/>
    <col min="3854" max="3854" width="18.140625" style="306" customWidth="1"/>
    <col min="3855" max="4096" width="11.42578125" style="306"/>
    <col min="4097" max="4098" width="3" style="306" customWidth="1"/>
    <col min="4099" max="4099" width="46" style="306" customWidth="1"/>
    <col min="4100" max="4100" width="2.85546875" style="306" customWidth="1"/>
    <col min="4101" max="4101" width="18.85546875" style="306" bestFit="1" customWidth="1"/>
    <col min="4102" max="4102" width="2.28515625" style="306" customWidth="1"/>
    <col min="4103" max="4103" width="50.140625" style="306" customWidth="1"/>
    <col min="4104" max="4104" width="3.7109375" style="306" customWidth="1"/>
    <col min="4105" max="4105" width="18.85546875" style="306" bestFit="1" customWidth="1"/>
    <col min="4106" max="4106" width="3.5703125" style="306" customWidth="1"/>
    <col min="4107" max="4107" width="3.28515625" style="306" customWidth="1"/>
    <col min="4108" max="4108" width="38.7109375" style="306" customWidth="1"/>
    <col min="4109" max="4109" width="3.140625" style="306" customWidth="1"/>
    <col min="4110" max="4110" width="18.140625" style="306" customWidth="1"/>
    <col min="4111" max="4352" width="11.42578125" style="306"/>
    <col min="4353" max="4354" width="3" style="306" customWidth="1"/>
    <col min="4355" max="4355" width="46" style="306" customWidth="1"/>
    <col min="4356" max="4356" width="2.85546875" style="306" customWidth="1"/>
    <col min="4357" max="4357" width="18.85546875" style="306" bestFit="1" customWidth="1"/>
    <col min="4358" max="4358" width="2.28515625" style="306" customWidth="1"/>
    <col min="4359" max="4359" width="50.140625" style="306" customWidth="1"/>
    <col min="4360" max="4360" width="3.7109375" style="306" customWidth="1"/>
    <col min="4361" max="4361" width="18.85546875" style="306" bestFit="1" customWidth="1"/>
    <col min="4362" max="4362" width="3.5703125" style="306" customWidth="1"/>
    <col min="4363" max="4363" width="3.28515625" style="306" customWidth="1"/>
    <col min="4364" max="4364" width="38.7109375" style="306" customWidth="1"/>
    <col min="4365" max="4365" width="3.140625" style="306" customWidth="1"/>
    <col min="4366" max="4366" width="18.140625" style="306" customWidth="1"/>
    <col min="4367" max="4608" width="11.42578125" style="306"/>
    <col min="4609" max="4610" width="3" style="306" customWidth="1"/>
    <col min="4611" max="4611" width="46" style="306" customWidth="1"/>
    <col min="4612" max="4612" width="2.85546875" style="306" customWidth="1"/>
    <col min="4613" max="4613" width="18.85546875" style="306" bestFit="1" customWidth="1"/>
    <col min="4614" max="4614" width="2.28515625" style="306" customWidth="1"/>
    <col min="4615" max="4615" width="50.140625" style="306" customWidth="1"/>
    <col min="4616" max="4616" width="3.7109375" style="306" customWidth="1"/>
    <col min="4617" max="4617" width="18.85546875" style="306" bestFit="1" customWidth="1"/>
    <col min="4618" max="4618" width="3.5703125" style="306" customWidth="1"/>
    <col min="4619" max="4619" width="3.28515625" style="306" customWidth="1"/>
    <col min="4620" max="4620" width="38.7109375" style="306" customWidth="1"/>
    <col min="4621" max="4621" width="3.140625" style="306" customWidth="1"/>
    <col min="4622" max="4622" width="18.140625" style="306" customWidth="1"/>
    <col min="4623" max="4864" width="11.42578125" style="306"/>
    <col min="4865" max="4866" width="3" style="306" customWidth="1"/>
    <col min="4867" max="4867" width="46" style="306" customWidth="1"/>
    <col min="4868" max="4868" width="2.85546875" style="306" customWidth="1"/>
    <col min="4869" max="4869" width="18.85546875" style="306" bestFit="1" customWidth="1"/>
    <col min="4870" max="4870" width="2.28515625" style="306" customWidth="1"/>
    <col min="4871" max="4871" width="50.140625" style="306" customWidth="1"/>
    <col min="4872" max="4872" width="3.7109375" style="306" customWidth="1"/>
    <col min="4873" max="4873" width="18.85546875" style="306" bestFit="1" customWidth="1"/>
    <col min="4874" max="4874" width="3.5703125" style="306" customWidth="1"/>
    <col min="4875" max="4875" width="3.28515625" style="306" customWidth="1"/>
    <col min="4876" max="4876" width="38.7109375" style="306" customWidth="1"/>
    <col min="4877" max="4877" width="3.140625" style="306" customWidth="1"/>
    <col min="4878" max="4878" width="18.140625" style="306" customWidth="1"/>
    <col min="4879" max="5120" width="11.42578125" style="306"/>
    <col min="5121" max="5122" width="3" style="306" customWidth="1"/>
    <col min="5123" max="5123" width="46" style="306" customWidth="1"/>
    <col min="5124" max="5124" width="2.85546875" style="306" customWidth="1"/>
    <col min="5125" max="5125" width="18.85546875" style="306" bestFit="1" customWidth="1"/>
    <col min="5126" max="5126" width="2.28515625" style="306" customWidth="1"/>
    <col min="5127" max="5127" width="50.140625" style="306" customWidth="1"/>
    <col min="5128" max="5128" width="3.7109375" style="306" customWidth="1"/>
    <col min="5129" max="5129" width="18.85546875" style="306" bestFit="1" customWidth="1"/>
    <col min="5130" max="5130" width="3.5703125" style="306" customWidth="1"/>
    <col min="5131" max="5131" width="3.28515625" style="306" customWidth="1"/>
    <col min="5132" max="5132" width="38.7109375" style="306" customWidth="1"/>
    <col min="5133" max="5133" width="3.140625" style="306" customWidth="1"/>
    <col min="5134" max="5134" width="18.140625" style="306" customWidth="1"/>
    <col min="5135" max="5376" width="11.42578125" style="306"/>
    <col min="5377" max="5378" width="3" style="306" customWidth="1"/>
    <col min="5379" max="5379" width="46" style="306" customWidth="1"/>
    <col min="5380" max="5380" width="2.85546875" style="306" customWidth="1"/>
    <col min="5381" max="5381" width="18.85546875" style="306" bestFit="1" customWidth="1"/>
    <col min="5382" max="5382" width="2.28515625" style="306" customWidth="1"/>
    <col min="5383" max="5383" width="50.140625" style="306" customWidth="1"/>
    <col min="5384" max="5384" width="3.7109375" style="306" customWidth="1"/>
    <col min="5385" max="5385" width="18.85546875" style="306" bestFit="1" customWidth="1"/>
    <col min="5386" max="5386" width="3.5703125" style="306" customWidth="1"/>
    <col min="5387" max="5387" width="3.28515625" style="306" customWidth="1"/>
    <col min="5388" max="5388" width="38.7109375" style="306" customWidth="1"/>
    <col min="5389" max="5389" width="3.140625" style="306" customWidth="1"/>
    <col min="5390" max="5390" width="18.140625" style="306" customWidth="1"/>
    <col min="5391" max="5632" width="11.42578125" style="306"/>
    <col min="5633" max="5634" width="3" style="306" customWidth="1"/>
    <col min="5635" max="5635" width="46" style="306" customWidth="1"/>
    <col min="5636" max="5636" width="2.85546875" style="306" customWidth="1"/>
    <col min="5637" max="5637" width="18.85546875" style="306" bestFit="1" customWidth="1"/>
    <col min="5638" max="5638" width="2.28515625" style="306" customWidth="1"/>
    <col min="5639" max="5639" width="50.140625" style="306" customWidth="1"/>
    <col min="5640" max="5640" width="3.7109375" style="306" customWidth="1"/>
    <col min="5641" max="5641" width="18.85546875" style="306" bestFit="1" customWidth="1"/>
    <col min="5642" max="5642" width="3.5703125" style="306" customWidth="1"/>
    <col min="5643" max="5643" width="3.28515625" style="306" customWidth="1"/>
    <col min="5644" max="5644" width="38.7109375" style="306" customWidth="1"/>
    <col min="5645" max="5645" width="3.140625" style="306" customWidth="1"/>
    <col min="5646" max="5646" width="18.140625" style="306" customWidth="1"/>
    <col min="5647" max="5888" width="11.42578125" style="306"/>
    <col min="5889" max="5890" width="3" style="306" customWidth="1"/>
    <col min="5891" max="5891" width="46" style="306" customWidth="1"/>
    <col min="5892" max="5892" width="2.85546875" style="306" customWidth="1"/>
    <col min="5893" max="5893" width="18.85546875" style="306" bestFit="1" customWidth="1"/>
    <col min="5894" max="5894" width="2.28515625" style="306" customWidth="1"/>
    <col min="5895" max="5895" width="50.140625" style="306" customWidth="1"/>
    <col min="5896" max="5896" width="3.7109375" style="306" customWidth="1"/>
    <col min="5897" max="5897" width="18.85546875" style="306" bestFit="1" customWidth="1"/>
    <col min="5898" max="5898" width="3.5703125" style="306" customWidth="1"/>
    <col min="5899" max="5899" width="3.28515625" style="306" customWidth="1"/>
    <col min="5900" max="5900" width="38.7109375" style="306" customWidth="1"/>
    <col min="5901" max="5901" width="3.140625" style="306" customWidth="1"/>
    <col min="5902" max="5902" width="18.140625" style="306" customWidth="1"/>
    <col min="5903" max="6144" width="11.42578125" style="306"/>
    <col min="6145" max="6146" width="3" style="306" customWidth="1"/>
    <col min="6147" max="6147" width="46" style="306" customWidth="1"/>
    <col min="6148" max="6148" width="2.85546875" style="306" customWidth="1"/>
    <col min="6149" max="6149" width="18.85546875" style="306" bestFit="1" customWidth="1"/>
    <col min="6150" max="6150" width="2.28515625" style="306" customWidth="1"/>
    <col min="6151" max="6151" width="50.140625" style="306" customWidth="1"/>
    <col min="6152" max="6152" width="3.7109375" style="306" customWidth="1"/>
    <col min="6153" max="6153" width="18.85546875" style="306" bestFit="1" customWidth="1"/>
    <col min="6154" max="6154" width="3.5703125" style="306" customWidth="1"/>
    <col min="6155" max="6155" width="3.28515625" style="306" customWidth="1"/>
    <col min="6156" max="6156" width="38.7109375" style="306" customWidth="1"/>
    <col min="6157" max="6157" width="3.140625" style="306" customWidth="1"/>
    <col min="6158" max="6158" width="18.140625" style="306" customWidth="1"/>
    <col min="6159" max="6400" width="11.42578125" style="306"/>
    <col min="6401" max="6402" width="3" style="306" customWidth="1"/>
    <col min="6403" max="6403" width="46" style="306" customWidth="1"/>
    <col min="6404" max="6404" width="2.85546875" style="306" customWidth="1"/>
    <col min="6405" max="6405" width="18.85546875" style="306" bestFit="1" customWidth="1"/>
    <col min="6406" max="6406" width="2.28515625" style="306" customWidth="1"/>
    <col min="6407" max="6407" width="50.140625" style="306" customWidth="1"/>
    <col min="6408" max="6408" width="3.7109375" style="306" customWidth="1"/>
    <col min="6409" max="6409" width="18.85546875" style="306" bestFit="1" customWidth="1"/>
    <col min="6410" max="6410" width="3.5703125" style="306" customWidth="1"/>
    <col min="6411" max="6411" width="3.28515625" style="306" customWidth="1"/>
    <col min="6412" max="6412" width="38.7109375" style="306" customWidth="1"/>
    <col min="6413" max="6413" width="3.140625" style="306" customWidth="1"/>
    <col min="6414" max="6414" width="18.140625" style="306" customWidth="1"/>
    <col min="6415" max="6656" width="11.42578125" style="306"/>
    <col min="6657" max="6658" width="3" style="306" customWidth="1"/>
    <col min="6659" max="6659" width="46" style="306" customWidth="1"/>
    <col min="6660" max="6660" width="2.85546875" style="306" customWidth="1"/>
    <col min="6661" max="6661" width="18.85546875" style="306" bestFit="1" customWidth="1"/>
    <col min="6662" max="6662" width="2.28515625" style="306" customWidth="1"/>
    <col min="6663" max="6663" width="50.140625" style="306" customWidth="1"/>
    <col min="6664" max="6664" width="3.7109375" style="306" customWidth="1"/>
    <col min="6665" max="6665" width="18.85546875" style="306" bestFit="1" customWidth="1"/>
    <col min="6666" max="6666" width="3.5703125" style="306" customWidth="1"/>
    <col min="6667" max="6667" width="3.28515625" style="306" customWidth="1"/>
    <col min="6668" max="6668" width="38.7109375" style="306" customWidth="1"/>
    <col min="6669" max="6669" width="3.140625" style="306" customWidth="1"/>
    <col min="6670" max="6670" width="18.140625" style="306" customWidth="1"/>
    <col min="6671" max="6912" width="11.42578125" style="306"/>
    <col min="6913" max="6914" width="3" style="306" customWidth="1"/>
    <col min="6915" max="6915" width="46" style="306" customWidth="1"/>
    <col min="6916" max="6916" width="2.85546875" style="306" customWidth="1"/>
    <col min="6917" max="6917" width="18.85546875" style="306" bestFit="1" customWidth="1"/>
    <col min="6918" max="6918" width="2.28515625" style="306" customWidth="1"/>
    <col min="6919" max="6919" width="50.140625" style="306" customWidth="1"/>
    <col min="6920" max="6920" width="3.7109375" style="306" customWidth="1"/>
    <col min="6921" max="6921" width="18.85546875" style="306" bestFit="1" customWidth="1"/>
    <col min="6922" max="6922" width="3.5703125" style="306" customWidth="1"/>
    <col min="6923" max="6923" width="3.28515625" style="306" customWidth="1"/>
    <col min="6924" max="6924" width="38.7109375" style="306" customWidth="1"/>
    <col min="6925" max="6925" width="3.140625" style="306" customWidth="1"/>
    <col min="6926" max="6926" width="18.140625" style="306" customWidth="1"/>
    <col min="6927" max="7168" width="11.42578125" style="306"/>
    <col min="7169" max="7170" width="3" style="306" customWidth="1"/>
    <col min="7171" max="7171" width="46" style="306" customWidth="1"/>
    <col min="7172" max="7172" width="2.85546875" style="306" customWidth="1"/>
    <col min="7173" max="7173" width="18.85546875" style="306" bestFit="1" customWidth="1"/>
    <col min="7174" max="7174" width="2.28515625" style="306" customWidth="1"/>
    <col min="7175" max="7175" width="50.140625" style="306" customWidth="1"/>
    <col min="7176" max="7176" width="3.7109375" style="306" customWidth="1"/>
    <col min="7177" max="7177" width="18.85546875" style="306" bestFit="1" customWidth="1"/>
    <col min="7178" max="7178" width="3.5703125" style="306" customWidth="1"/>
    <col min="7179" max="7179" width="3.28515625" style="306" customWidth="1"/>
    <col min="7180" max="7180" width="38.7109375" style="306" customWidth="1"/>
    <col min="7181" max="7181" width="3.140625" style="306" customWidth="1"/>
    <col min="7182" max="7182" width="18.140625" style="306" customWidth="1"/>
    <col min="7183" max="7424" width="11.42578125" style="306"/>
    <col min="7425" max="7426" width="3" style="306" customWidth="1"/>
    <col min="7427" max="7427" width="46" style="306" customWidth="1"/>
    <col min="7428" max="7428" width="2.85546875" style="306" customWidth="1"/>
    <col min="7429" max="7429" width="18.85546875" style="306" bestFit="1" customWidth="1"/>
    <col min="7430" max="7430" width="2.28515625" style="306" customWidth="1"/>
    <col min="7431" max="7431" width="50.140625" style="306" customWidth="1"/>
    <col min="7432" max="7432" width="3.7109375" style="306" customWidth="1"/>
    <col min="7433" max="7433" width="18.85546875" style="306" bestFit="1" customWidth="1"/>
    <col min="7434" max="7434" width="3.5703125" style="306" customWidth="1"/>
    <col min="7435" max="7435" width="3.28515625" style="306" customWidth="1"/>
    <col min="7436" max="7436" width="38.7109375" style="306" customWidth="1"/>
    <col min="7437" max="7437" width="3.140625" style="306" customWidth="1"/>
    <col min="7438" max="7438" width="18.140625" style="306" customWidth="1"/>
    <col min="7439" max="7680" width="11.42578125" style="306"/>
    <col min="7681" max="7682" width="3" style="306" customWidth="1"/>
    <col min="7683" max="7683" width="46" style="306" customWidth="1"/>
    <col min="7684" max="7684" width="2.85546875" style="306" customWidth="1"/>
    <col min="7685" max="7685" width="18.85546875" style="306" bestFit="1" customWidth="1"/>
    <col min="7686" max="7686" width="2.28515625" style="306" customWidth="1"/>
    <col min="7687" max="7687" width="50.140625" style="306" customWidth="1"/>
    <col min="7688" max="7688" width="3.7109375" style="306" customWidth="1"/>
    <col min="7689" max="7689" width="18.85546875" style="306" bestFit="1" customWidth="1"/>
    <col min="7690" max="7690" width="3.5703125" style="306" customWidth="1"/>
    <col min="7691" max="7691" width="3.28515625" style="306" customWidth="1"/>
    <col min="7692" max="7692" width="38.7109375" style="306" customWidth="1"/>
    <col min="7693" max="7693" width="3.140625" style="306" customWidth="1"/>
    <col min="7694" max="7694" width="18.140625" style="306" customWidth="1"/>
    <col min="7695" max="7936" width="11.42578125" style="306"/>
    <col min="7937" max="7938" width="3" style="306" customWidth="1"/>
    <col min="7939" max="7939" width="46" style="306" customWidth="1"/>
    <col min="7940" max="7940" width="2.85546875" style="306" customWidth="1"/>
    <col min="7941" max="7941" width="18.85546875" style="306" bestFit="1" customWidth="1"/>
    <col min="7942" max="7942" width="2.28515625" style="306" customWidth="1"/>
    <col min="7943" max="7943" width="50.140625" style="306" customWidth="1"/>
    <col min="7944" max="7944" width="3.7109375" style="306" customWidth="1"/>
    <col min="7945" max="7945" width="18.85546875" style="306" bestFit="1" customWidth="1"/>
    <col min="7946" max="7946" width="3.5703125" style="306" customWidth="1"/>
    <col min="7947" max="7947" width="3.28515625" style="306" customWidth="1"/>
    <col min="7948" max="7948" width="38.7109375" style="306" customWidth="1"/>
    <col min="7949" max="7949" width="3.140625" style="306" customWidth="1"/>
    <col min="7950" max="7950" width="18.140625" style="306" customWidth="1"/>
    <col min="7951" max="8192" width="11.42578125" style="306"/>
    <col min="8193" max="8194" width="3" style="306" customWidth="1"/>
    <col min="8195" max="8195" width="46" style="306" customWidth="1"/>
    <col min="8196" max="8196" width="2.85546875" style="306" customWidth="1"/>
    <col min="8197" max="8197" width="18.85546875" style="306" bestFit="1" customWidth="1"/>
    <col min="8198" max="8198" width="2.28515625" style="306" customWidth="1"/>
    <col min="8199" max="8199" width="50.140625" style="306" customWidth="1"/>
    <col min="8200" max="8200" width="3.7109375" style="306" customWidth="1"/>
    <col min="8201" max="8201" width="18.85546875" style="306" bestFit="1" customWidth="1"/>
    <col min="8202" max="8202" width="3.5703125" style="306" customWidth="1"/>
    <col min="8203" max="8203" width="3.28515625" style="306" customWidth="1"/>
    <col min="8204" max="8204" width="38.7109375" style="306" customWidth="1"/>
    <col min="8205" max="8205" width="3.140625" style="306" customWidth="1"/>
    <col min="8206" max="8206" width="18.140625" style="306" customWidth="1"/>
    <col min="8207" max="8448" width="11.42578125" style="306"/>
    <col min="8449" max="8450" width="3" style="306" customWidth="1"/>
    <col min="8451" max="8451" width="46" style="306" customWidth="1"/>
    <col min="8452" max="8452" width="2.85546875" style="306" customWidth="1"/>
    <col min="8453" max="8453" width="18.85546875" style="306" bestFit="1" customWidth="1"/>
    <col min="8454" max="8454" width="2.28515625" style="306" customWidth="1"/>
    <col min="8455" max="8455" width="50.140625" style="306" customWidth="1"/>
    <col min="8456" max="8456" width="3.7109375" style="306" customWidth="1"/>
    <col min="8457" max="8457" width="18.85546875" style="306" bestFit="1" customWidth="1"/>
    <col min="8458" max="8458" width="3.5703125" style="306" customWidth="1"/>
    <col min="8459" max="8459" width="3.28515625" style="306" customWidth="1"/>
    <col min="8460" max="8460" width="38.7109375" style="306" customWidth="1"/>
    <col min="8461" max="8461" width="3.140625" style="306" customWidth="1"/>
    <col min="8462" max="8462" width="18.140625" style="306" customWidth="1"/>
    <col min="8463" max="8704" width="11.42578125" style="306"/>
    <col min="8705" max="8706" width="3" style="306" customWidth="1"/>
    <col min="8707" max="8707" width="46" style="306" customWidth="1"/>
    <col min="8708" max="8708" width="2.85546875" style="306" customWidth="1"/>
    <col min="8709" max="8709" width="18.85546875" style="306" bestFit="1" customWidth="1"/>
    <col min="8710" max="8710" width="2.28515625" style="306" customWidth="1"/>
    <col min="8711" max="8711" width="50.140625" style="306" customWidth="1"/>
    <col min="8712" max="8712" width="3.7109375" style="306" customWidth="1"/>
    <col min="8713" max="8713" width="18.85546875" style="306" bestFit="1" customWidth="1"/>
    <col min="8714" max="8714" width="3.5703125" style="306" customWidth="1"/>
    <col min="8715" max="8715" width="3.28515625" style="306" customWidth="1"/>
    <col min="8716" max="8716" width="38.7109375" style="306" customWidth="1"/>
    <col min="8717" max="8717" width="3.140625" style="306" customWidth="1"/>
    <col min="8718" max="8718" width="18.140625" style="306" customWidth="1"/>
    <col min="8719" max="8960" width="11.42578125" style="306"/>
    <col min="8961" max="8962" width="3" style="306" customWidth="1"/>
    <col min="8963" max="8963" width="46" style="306" customWidth="1"/>
    <col min="8964" max="8964" width="2.85546875" style="306" customWidth="1"/>
    <col min="8965" max="8965" width="18.85546875" style="306" bestFit="1" customWidth="1"/>
    <col min="8966" max="8966" width="2.28515625" style="306" customWidth="1"/>
    <col min="8967" max="8967" width="50.140625" style="306" customWidth="1"/>
    <col min="8968" max="8968" width="3.7109375" style="306" customWidth="1"/>
    <col min="8969" max="8969" width="18.85546875" style="306" bestFit="1" customWidth="1"/>
    <col min="8970" max="8970" width="3.5703125" style="306" customWidth="1"/>
    <col min="8971" max="8971" width="3.28515625" style="306" customWidth="1"/>
    <col min="8972" max="8972" width="38.7109375" style="306" customWidth="1"/>
    <col min="8973" max="8973" width="3.140625" style="306" customWidth="1"/>
    <col min="8974" max="8974" width="18.140625" style="306" customWidth="1"/>
    <col min="8975" max="9216" width="11.42578125" style="306"/>
    <col min="9217" max="9218" width="3" style="306" customWidth="1"/>
    <col min="9219" max="9219" width="46" style="306" customWidth="1"/>
    <col min="9220" max="9220" width="2.85546875" style="306" customWidth="1"/>
    <col min="9221" max="9221" width="18.85546875" style="306" bestFit="1" customWidth="1"/>
    <col min="9222" max="9222" width="2.28515625" style="306" customWidth="1"/>
    <col min="9223" max="9223" width="50.140625" style="306" customWidth="1"/>
    <col min="9224" max="9224" width="3.7109375" style="306" customWidth="1"/>
    <col min="9225" max="9225" width="18.85546875" style="306" bestFit="1" customWidth="1"/>
    <col min="9226" max="9226" width="3.5703125" style="306" customWidth="1"/>
    <col min="9227" max="9227" width="3.28515625" style="306" customWidth="1"/>
    <col min="9228" max="9228" width="38.7109375" style="306" customWidth="1"/>
    <col min="9229" max="9229" width="3.140625" style="306" customWidth="1"/>
    <col min="9230" max="9230" width="18.140625" style="306" customWidth="1"/>
    <col min="9231" max="9472" width="11.42578125" style="306"/>
    <col min="9473" max="9474" width="3" style="306" customWidth="1"/>
    <col min="9475" max="9475" width="46" style="306" customWidth="1"/>
    <col min="9476" max="9476" width="2.85546875" style="306" customWidth="1"/>
    <col min="9477" max="9477" width="18.85546875" style="306" bestFit="1" customWidth="1"/>
    <col min="9478" max="9478" width="2.28515625" style="306" customWidth="1"/>
    <col min="9479" max="9479" width="50.140625" style="306" customWidth="1"/>
    <col min="9480" max="9480" width="3.7109375" style="306" customWidth="1"/>
    <col min="9481" max="9481" width="18.85546875" style="306" bestFit="1" customWidth="1"/>
    <col min="9482" max="9482" width="3.5703125" style="306" customWidth="1"/>
    <col min="9483" max="9483" width="3.28515625" style="306" customWidth="1"/>
    <col min="9484" max="9484" width="38.7109375" style="306" customWidth="1"/>
    <col min="9485" max="9485" width="3.140625" style="306" customWidth="1"/>
    <col min="9486" max="9486" width="18.140625" style="306" customWidth="1"/>
    <col min="9487" max="9728" width="11.42578125" style="306"/>
    <col min="9729" max="9730" width="3" style="306" customWidth="1"/>
    <col min="9731" max="9731" width="46" style="306" customWidth="1"/>
    <col min="9732" max="9732" width="2.85546875" style="306" customWidth="1"/>
    <col min="9733" max="9733" width="18.85546875" style="306" bestFit="1" customWidth="1"/>
    <col min="9734" max="9734" width="2.28515625" style="306" customWidth="1"/>
    <col min="9735" max="9735" width="50.140625" style="306" customWidth="1"/>
    <col min="9736" max="9736" width="3.7109375" style="306" customWidth="1"/>
    <col min="9737" max="9737" width="18.85546875" style="306" bestFit="1" customWidth="1"/>
    <col min="9738" max="9738" width="3.5703125" style="306" customWidth="1"/>
    <col min="9739" max="9739" width="3.28515625" style="306" customWidth="1"/>
    <col min="9740" max="9740" width="38.7109375" style="306" customWidth="1"/>
    <col min="9741" max="9741" width="3.140625" style="306" customWidth="1"/>
    <col min="9742" max="9742" width="18.140625" style="306" customWidth="1"/>
    <col min="9743" max="9984" width="11.42578125" style="306"/>
    <col min="9985" max="9986" width="3" style="306" customWidth="1"/>
    <col min="9987" max="9987" width="46" style="306" customWidth="1"/>
    <col min="9988" max="9988" width="2.85546875" style="306" customWidth="1"/>
    <col min="9989" max="9989" width="18.85546875" style="306" bestFit="1" customWidth="1"/>
    <col min="9990" max="9990" width="2.28515625" style="306" customWidth="1"/>
    <col min="9991" max="9991" width="50.140625" style="306" customWidth="1"/>
    <col min="9992" max="9992" width="3.7109375" style="306" customWidth="1"/>
    <col min="9993" max="9993" width="18.85546875" style="306" bestFit="1" customWidth="1"/>
    <col min="9994" max="9994" width="3.5703125" style="306" customWidth="1"/>
    <col min="9995" max="9995" width="3.28515625" style="306" customWidth="1"/>
    <col min="9996" max="9996" width="38.7109375" style="306" customWidth="1"/>
    <col min="9997" max="9997" width="3.140625" style="306" customWidth="1"/>
    <col min="9998" max="9998" width="18.140625" style="306" customWidth="1"/>
    <col min="9999" max="10240" width="11.42578125" style="306"/>
    <col min="10241" max="10242" width="3" style="306" customWidth="1"/>
    <col min="10243" max="10243" width="46" style="306" customWidth="1"/>
    <col min="10244" max="10244" width="2.85546875" style="306" customWidth="1"/>
    <col min="10245" max="10245" width="18.85546875" style="306" bestFit="1" customWidth="1"/>
    <col min="10246" max="10246" width="2.28515625" style="306" customWidth="1"/>
    <col min="10247" max="10247" width="50.140625" style="306" customWidth="1"/>
    <col min="10248" max="10248" width="3.7109375" style="306" customWidth="1"/>
    <col min="10249" max="10249" width="18.85546875" style="306" bestFit="1" customWidth="1"/>
    <col min="10250" max="10250" width="3.5703125" style="306" customWidth="1"/>
    <col min="10251" max="10251" width="3.28515625" style="306" customWidth="1"/>
    <col min="10252" max="10252" width="38.7109375" style="306" customWidth="1"/>
    <col min="10253" max="10253" width="3.140625" style="306" customWidth="1"/>
    <col min="10254" max="10254" width="18.140625" style="306" customWidth="1"/>
    <col min="10255" max="10496" width="11.42578125" style="306"/>
    <col min="10497" max="10498" width="3" style="306" customWidth="1"/>
    <col min="10499" max="10499" width="46" style="306" customWidth="1"/>
    <col min="10500" max="10500" width="2.85546875" style="306" customWidth="1"/>
    <col min="10501" max="10501" width="18.85546875" style="306" bestFit="1" customWidth="1"/>
    <col min="10502" max="10502" width="2.28515625" style="306" customWidth="1"/>
    <col min="10503" max="10503" width="50.140625" style="306" customWidth="1"/>
    <col min="10504" max="10504" width="3.7109375" style="306" customWidth="1"/>
    <col min="10505" max="10505" width="18.85546875" style="306" bestFit="1" customWidth="1"/>
    <col min="10506" max="10506" width="3.5703125" style="306" customWidth="1"/>
    <col min="10507" max="10507" width="3.28515625" style="306" customWidth="1"/>
    <col min="10508" max="10508" width="38.7109375" style="306" customWidth="1"/>
    <col min="10509" max="10509" width="3.140625" style="306" customWidth="1"/>
    <col min="10510" max="10510" width="18.140625" style="306" customWidth="1"/>
    <col min="10511" max="10752" width="11.42578125" style="306"/>
    <col min="10753" max="10754" width="3" style="306" customWidth="1"/>
    <col min="10755" max="10755" width="46" style="306" customWidth="1"/>
    <col min="10756" max="10756" width="2.85546875" style="306" customWidth="1"/>
    <col min="10757" max="10757" width="18.85546875" style="306" bestFit="1" customWidth="1"/>
    <col min="10758" max="10758" width="2.28515625" style="306" customWidth="1"/>
    <col min="10759" max="10759" width="50.140625" style="306" customWidth="1"/>
    <col min="10760" max="10760" width="3.7109375" style="306" customWidth="1"/>
    <col min="10761" max="10761" width="18.85546875" style="306" bestFit="1" customWidth="1"/>
    <col min="10762" max="10762" width="3.5703125" style="306" customWidth="1"/>
    <col min="10763" max="10763" width="3.28515625" style="306" customWidth="1"/>
    <col min="10764" max="10764" width="38.7109375" style="306" customWidth="1"/>
    <col min="10765" max="10765" width="3.140625" style="306" customWidth="1"/>
    <col min="10766" max="10766" width="18.140625" style="306" customWidth="1"/>
    <col min="10767" max="11008" width="11.42578125" style="306"/>
    <col min="11009" max="11010" width="3" style="306" customWidth="1"/>
    <col min="11011" max="11011" width="46" style="306" customWidth="1"/>
    <col min="11012" max="11012" width="2.85546875" style="306" customWidth="1"/>
    <col min="11013" max="11013" width="18.85546875" style="306" bestFit="1" customWidth="1"/>
    <col min="11014" max="11014" width="2.28515625" style="306" customWidth="1"/>
    <col min="11015" max="11015" width="50.140625" style="306" customWidth="1"/>
    <col min="11016" max="11016" width="3.7109375" style="306" customWidth="1"/>
    <col min="11017" max="11017" width="18.85546875" style="306" bestFit="1" customWidth="1"/>
    <col min="11018" max="11018" width="3.5703125" style="306" customWidth="1"/>
    <col min="11019" max="11019" width="3.28515625" style="306" customWidth="1"/>
    <col min="11020" max="11020" width="38.7109375" style="306" customWidth="1"/>
    <col min="11021" max="11021" width="3.140625" style="306" customWidth="1"/>
    <col min="11022" max="11022" width="18.140625" style="306" customWidth="1"/>
    <col min="11023" max="11264" width="11.42578125" style="306"/>
    <col min="11265" max="11266" width="3" style="306" customWidth="1"/>
    <col min="11267" max="11267" width="46" style="306" customWidth="1"/>
    <col min="11268" max="11268" width="2.85546875" style="306" customWidth="1"/>
    <col min="11269" max="11269" width="18.85546875" style="306" bestFit="1" customWidth="1"/>
    <col min="11270" max="11270" width="2.28515625" style="306" customWidth="1"/>
    <col min="11271" max="11271" width="50.140625" style="306" customWidth="1"/>
    <col min="11272" max="11272" width="3.7109375" style="306" customWidth="1"/>
    <col min="11273" max="11273" width="18.85546875" style="306" bestFit="1" customWidth="1"/>
    <col min="11274" max="11274" width="3.5703125" style="306" customWidth="1"/>
    <col min="11275" max="11275" width="3.28515625" style="306" customWidth="1"/>
    <col min="11276" max="11276" width="38.7109375" style="306" customWidth="1"/>
    <col min="11277" max="11277" width="3.140625" style="306" customWidth="1"/>
    <col min="11278" max="11278" width="18.140625" style="306" customWidth="1"/>
    <col min="11279" max="11520" width="11.42578125" style="306"/>
    <col min="11521" max="11522" width="3" style="306" customWidth="1"/>
    <col min="11523" max="11523" width="46" style="306" customWidth="1"/>
    <col min="11524" max="11524" width="2.85546875" style="306" customWidth="1"/>
    <col min="11525" max="11525" width="18.85546875" style="306" bestFit="1" customWidth="1"/>
    <col min="11526" max="11526" width="2.28515625" style="306" customWidth="1"/>
    <col min="11527" max="11527" width="50.140625" style="306" customWidth="1"/>
    <col min="11528" max="11528" width="3.7109375" style="306" customWidth="1"/>
    <col min="11529" max="11529" width="18.85546875" style="306" bestFit="1" customWidth="1"/>
    <col min="11530" max="11530" width="3.5703125" style="306" customWidth="1"/>
    <col min="11531" max="11531" width="3.28515625" style="306" customWidth="1"/>
    <col min="11532" max="11532" width="38.7109375" style="306" customWidth="1"/>
    <col min="11533" max="11533" width="3.140625" style="306" customWidth="1"/>
    <col min="11534" max="11534" width="18.140625" style="306" customWidth="1"/>
    <col min="11535" max="11776" width="11.42578125" style="306"/>
    <col min="11777" max="11778" width="3" style="306" customWidth="1"/>
    <col min="11779" max="11779" width="46" style="306" customWidth="1"/>
    <col min="11780" max="11780" width="2.85546875" style="306" customWidth="1"/>
    <col min="11781" max="11781" width="18.85546875" style="306" bestFit="1" customWidth="1"/>
    <col min="11782" max="11782" width="2.28515625" style="306" customWidth="1"/>
    <col min="11783" max="11783" width="50.140625" style="306" customWidth="1"/>
    <col min="11784" max="11784" width="3.7109375" style="306" customWidth="1"/>
    <col min="11785" max="11785" width="18.85546875" style="306" bestFit="1" customWidth="1"/>
    <col min="11786" max="11786" width="3.5703125" style="306" customWidth="1"/>
    <col min="11787" max="11787" width="3.28515625" style="306" customWidth="1"/>
    <col min="11788" max="11788" width="38.7109375" style="306" customWidth="1"/>
    <col min="11789" max="11789" width="3.140625" style="306" customWidth="1"/>
    <col min="11790" max="11790" width="18.140625" style="306" customWidth="1"/>
    <col min="11791" max="12032" width="11.42578125" style="306"/>
    <col min="12033" max="12034" width="3" style="306" customWidth="1"/>
    <col min="12035" max="12035" width="46" style="306" customWidth="1"/>
    <col min="12036" max="12036" width="2.85546875" style="306" customWidth="1"/>
    <col min="12037" max="12037" width="18.85546875" style="306" bestFit="1" customWidth="1"/>
    <col min="12038" max="12038" width="2.28515625" style="306" customWidth="1"/>
    <col min="12039" max="12039" width="50.140625" style="306" customWidth="1"/>
    <col min="12040" max="12040" width="3.7109375" style="306" customWidth="1"/>
    <col min="12041" max="12041" width="18.85546875" style="306" bestFit="1" customWidth="1"/>
    <col min="12042" max="12042" width="3.5703125" style="306" customWidth="1"/>
    <col min="12043" max="12043" width="3.28515625" style="306" customWidth="1"/>
    <col min="12044" max="12044" width="38.7109375" style="306" customWidth="1"/>
    <col min="12045" max="12045" width="3.140625" style="306" customWidth="1"/>
    <col min="12046" max="12046" width="18.140625" style="306" customWidth="1"/>
    <col min="12047" max="12288" width="11.42578125" style="306"/>
    <col min="12289" max="12290" width="3" style="306" customWidth="1"/>
    <col min="12291" max="12291" width="46" style="306" customWidth="1"/>
    <col min="12292" max="12292" width="2.85546875" style="306" customWidth="1"/>
    <col min="12293" max="12293" width="18.85546875" style="306" bestFit="1" customWidth="1"/>
    <col min="12294" max="12294" width="2.28515625" style="306" customWidth="1"/>
    <col min="12295" max="12295" width="50.140625" style="306" customWidth="1"/>
    <col min="12296" max="12296" width="3.7109375" style="306" customWidth="1"/>
    <col min="12297" max="12297" width="18.85546875" style="306" bestFit="1" customWidth="1"/>
    <col min="12298" max="12298" width="3.5703125" style="306" customWidth="1"/>
    <col min="12299" max="12299" width="3.28515625" style="306" customWidth="1"/>
    <col min="12300" max="12300" width="38.7109375" style="306" customWidth="1"/>
    <col min="12301" max="12301" width="3.140625" style="306" customWidth="1"/>
    <col min="12302" max="12302" width="18.140625" style="306" customWidth="1"/>
    <col min="12303" max="12544" width="11.42578125" style="306"/>
    <col min="12545" max="12546" width="3" style="306" customWidth="1"/>
    <col min="12547" max="12547" width="46" style="306" customWidth="1"/>
    <col min="12548" max="12548" width="2.85546875" style="306" customWidth="1"/>
    <col min="12549" max="12549" width="18.85546875" style="306" bestFit="1" customWidth="1"/>
    <col min="12550" max="12550" width="2.28515625" style="306" customWidth="1"/>
    <col min="12551" max="12551" width="50.140625" style="306" customWidth="1"/>
    <col min="12552" max="12552" width="3.7109375" style="306" customWidth="1"/>
    <col min="12553" max="12553" width="18.85546875" style="306" bestFit="1" customWidth="1"/>
    <col min="12554" max="12554" width="3.5703125" style="306" customWidth="1"/>
    <col min="12555" max="12555" width="3.28515625" style="306" customWidth="1"/>
    <col min="12556" max="12556" width="38.7109375" style="306" customWidth="1"/>
    <col min="12557" max="12557" width="3.140625" style="306" customWidth="1"/>
    <col min="12558" max="12558" width="18.140625" style="306" customWidth="1"/>
    <col min="12559" max="12800" width="11.42578125" style="306"/>
    <col min="12801" max="12802" width="3" style="306" customWidth="1"/>
    <col min="12803" max="12803" width="46" style="306" customWidth="1"/>
    <col min="12804" max="12804" width="2.85546875" style="306" customWidth="1"/>
    <col min="12805" max="12805" width="18.85546875" style="306" bestFit="1" customWidth="1"/>
    <col min="12806" max="12806" width="2.28515625" style="306" customWidth="1"/>
    <col min="12807" max="12807" width="50.140625" style="306" customWidth="1"/>
    <col min="12808" max="12808" width="3.7109375" style="306" customWidth="1"/>
    <col min="12809" max="12809" width="18.85546875" style="306" bestFit="1" customWidth="1"/>
    <col min="12810" max="12810" width="3.5703125" style="306" customWidth="1"/>
    <col min="12811" max="12811" width="3.28515625" style="306" customWidth="1"/>
    <col min="12812" max="12812" width="38.7109375" style="306" customWidth="1"/>
    <col min="12813" max="12813" width="3.140625" style="306" customWidth="1"/>
    <col min="12814" max="12814" width="18.140625" style="306" customWidth="1"/>
    <col min="12815" max="13056" width="11.42578125" style="306"/>
    <col min="13057" max="13058" width="3" style="306" customWidth="1"/>
    <col min="13059" max="13059" width="46" style="306" customWidth="1"/>
    <col min="13060" max="13060" width="2.85546875" style="306" customWidth="1"/>
    <col min="13061" max="13061" width="18.85546875" style="306" bestFit="1" customWidth="1"/>
    <col min="13062" max="13062" width="2.28515625" style="306" customWidth="1"/>
    <col min="13063" max="13063" width="50.140625" style="306" customWidth="1"/>
    <col min="13064" max="13064" width="3.7109375" style="306" customWidth="1"/>
    <col min="13065" max="13065" width="18.85546875" style="306" bestFit="1" customWidth="1"/>
    <col min="13066" max="13066" width="3.5703125" style="306" customWidth="1"/>
    <col min="13067" max="13067" width="3.28515625" style="306" customWidth="1"/>
    <col min="13068" max="13068" width="38.7109375" style="306" customWidth="1"/>
    <col min="13069" max="13069" width="3.140625" style="306" customWidth="1"/>
    <col min="13070" max="13070" width="18.140625" style="306" customWidth="1"/>
    <col min="13071" max="13312" width="11.42578125" style="306"/>
    <col min="13313" max="13314" width="3" style="306" customWidth="1"/>
    <col min="13315" max="13315" width="46" style="306" customWidth="1"/>
    <col min="13316" max="13316" width="2.85546875" style="306" customWidth="1"/>
    <col min="13317" max="13317" width="18.85546875" style="306" bestFit="1" customWidth="1"/>
    <col min="13318" max="13318" width="2.28515625" style="306" customWidth="1"/>
    <col min="13319" max="13319" width="50.140625" style="306" customWidth="1"/>
    <col min="13320" max="13320" width="3.7109375" style="306" customWidth="1"/>
    <col min="13321" max="13321" width="18.85546875" style="306" bestFit="1" customWidth="1"/>
    <col min="13322" max="13322" width="3.5703125" style="306" customWidth="1"/>
    <col min="13323" max="13323" width="3.28515625" style="306" customWidth="1"/>
    <col min="13324" max="13324" width="38.7109375" style="306" customWidth="1"/>
    <col min="13325" max="13325" width="3.140625" style="306" customWidth="1"/>
    <col min="13326" max="13326" width="18.140625" style="306" customWidth="1"/>
    <col min="13327" max="13568" width="11.42578125" style="306"/>
    <col min="13569" max="13570" width="3" style="306" customWidth="1"/>
    <col min="13571" max="13571" width="46" style="306" customWidth="1"/>
    <col min="13572" max="13572" width="2.85546875" style="306" customWidth="1"/>
    <col min="13573" max="13573" width="18.85546875" style="306" bestFit="1" customWidth="1"/>
    <col min="13574" max="13574" width="2.28515625" style="306" customWidth="1"/>
    <col min="13575" max="13575" width="50.140625" style="306" customWidth="1"/>
    <col min="13576" max="13576" width="3.7109375" style="306" customWidth="1"/>
    <col min="13577" max="13577" width="18.85546875" style="306" bestFit="1" customWidth="1"/>
    <col min="13578" max="13578" width="3.5703125" style="306" customWidth="1"/>
    <col min="13579" max="13579" width="3.28515625" style="306" customWidth="1"/>
    <col min="13580" max="13580" width="38.7109375" style="306" customWidth="1"/>
    <col min="13581" max="13581" width="3.140625" style="306" customWidth="1"/>
    <col min="13582" max="13582" width="18.140625" style="306" customWidth="1"/>
    <col min="13583" max="13824" width="11.42578125" style="306"/>
    <col min="13825" max="13826" width="3" style="306" customWidth="1"/>
    <col min="13827" max="13827" width="46" style="306" customWidth="1"/>
    <col min="13828" max="13828" width="2.85546875" style="306" customWidth="1"/>
    <col min="13829" max="13829" width="18.85546875" style="306" bestFit="1" customWidth="1"/>
    <col min="13830" max="13830" width="2.28515625" style="306" customWidth="1"/>
    <col min="13831" max="13831" width="50.140625" style="306" customWidth="1"/>
    <col min="13832" max="13832" width="3.7109375" style="306" customWidth="1"/>
    <col min="13833" max="13833" width="18.85546875" style="306" bestFit="1" customWidth="1"/>
    <col min="13834" max="13834" width="3.5703125" style="306" customWidth="1"/>
    <col min="13835" max="13835" width="3.28515625" style="306" customWidth="1"/>
    <col min="13836" max="13836" width="38.7109375" style="306" customWidth="1"/>
    <col min="13837" max="13837" width="3.140625" style="306" customWidth="1"/>
    <col min="13838" max="13838" width="18.140625" style="306" customWidth="1"/>
    <col min="13839" max="14080" width="11.42578125" style="306"/>
    <col min="14081" max="14082" width="3" style="306" customWidth="1"/>
    <col min="14083" max="14083" width="46" style="306" customWidth="1"/>
    <col min="14084" max="14084" width="2.85546875" style="306" customWidth="1"/>
    <col min="14085" max="14085" width="18.85546875" style="306" bestFit="1" customWidth="1"/>
    <col min="14086" max="14086" width="2.28515625" style="306" customWidth="1"/>
    <col min="14087" max="14087" width="50.140625" style="306" customWidth="1"/>
    <col min="14088" max="14088" width="3.7109375" style="306" customWidth="1"/>
    <col min="14089" max="14089" width="18.85546875" style="306" bestFit="1" customWidth="1"/>
    <col min="14090" max="14090" width="3.5703125" style="306" customWidth="1"/>
    <col min="14091" max="14091" width="3.28515625" style="306" customWidth="1"/>
    <col min="14092" max="14092" width="38.7109375" style="306" customWidth="1"/>
    <col min="14093" max="14093" width="3.140625" style="306" customWidth="1"/>
    <col min="14094" max="14094" width="18.140625" style="306" customWidth="1"/>
    <col min="14095" max="14336" width="11.42578125" style="306"/>
    <col min="14337" max="14338" width="3" style="306" customWidth="1"/>
    <col min="14339" max="14339" width="46" style="306" customWidth="1"/>
    <col min="14340" max="14340" width="2.85546875" style="306" customWidth="1"/>
    <col min="14341" max="14341" width="18.85546875" style="306" bestFit="1" customWidth="1"/>
    <col min="14342" max="14342" width="2.28515625" style="306" customWidth="1"/>
    <col min="14343" max="14343" width="50.140625" style="306" customWidth="1"/>
    <col min="14344" max="14344" width="3.7109375" style="306" customWidth="1"/>
    <col min="14345" max="14345" width="18.85546875" style="306" bestFit="1" customWidth="1"/>
    <col min="14346" max="14346" width="3.5703125" style="306" customWidth="1"/>
    <col min="14347" max="14347" width="3.28515625" style="306" customWidth="1"/>
    <col min="14348" max="14348" width="38.7109375" style="306" customWidth="1"/>
    <col min="14349" max="14349" width="3.140625" style="306" customWidth="1"/>
    <col min="14350" max="14350" width="18.140625" style="306" customWidth="1"/>
    <col min="14351" max="14592" width="11.42578125" style="306"/>
    <col min="14593" max="14594" width="3" style="306" customWidth="1"/>
    <col min="14595" max="14595" width="46" style="306" customWidth="1"/>
    <col min="14596" max="14596" width="2.85546875" style="306" customWidth="1"/>
    <col min="14597" max="14597" width="18.85546875" style="306" bestFit="1" customWidth="1"/>
    <col min="14598" max="14598" width="2.28515625" style="306" customWidth="1"/>
    <col min="14599" max="14599" width="50.140625" style="306" customWidth="1"/>
    <col min="14600" max="14600" width="3.7109375" style="306" customWidth="1"/>
    <col min="14601" max="14601" width="18.85546875" style="306" bestFit="1" customWidth="1"/>
    <col min="14602" max="14602" width="3.5703125" style="306" customWidth="1"/>
    <col min="14603" max="14603" width="3.28515625" style="306" customWidth="1"/>
    <col min="14604" max="14604" width="38.7109375" style="306" customWidth="1"/>
    <col min="14605" max="14605" width="3.140625" style="306" customWidth="1"/>
    <col min="14606" max="14606" width="18.140625" style="306" customWidth="1"/>
    <col min="14607" max="14848" width="11.42578125" style="306"/>
    <col min="14849" max="14850" width="3" style="306" customWidth="1"/>
    <col min="14851" max="14851" width="46" style="306" customWidth="1"/>
    <col min="14852" max="14852" width="2.85546875" style="306" customWidth="1"/>
    <col min="14853" max="14853" width="18.85546875" style="306" bestFit="1" customWidth="1"/>
    <col min="14854" max="14854" width="2.28515625" style="306" customWidth="1"/>
    <col min="14855" max="14855" width="50.140625" style="306" customWidth="1"/>
    <col min="14856" max="14856" width="3.7109375" style="306" customWidth="1"/>
    <col min="14857" max="14857" width="18.85546875" style="306" bestFit="1" customWidth="1"/>
    <col min="14858" max="14858" width="3.5703125" style="306" customWidth="1"/>
    <col min="14859" max="14859" width="3.28515625" style="306" customWidth="1"/>
    <col min="14860" max="14860" width="38.7109375" style="306" customWidth="1"/>
    <col min="14861" max="14861" width="3.140625" style="306" customWidth="1"/>
    <col min="14862" max="14862" width="18.140625" style="306" customWidth="1"/>
    <col min="14863" max="15104" width="11.42578125" style="306"/>
    <col min="15105" max="15106" width="3" style="306" customWidth="1"/>
    <col min="15107" max="15107" width="46" style="306" customWidth="1"/>
    <col min="15108" max="15108" width="2.85546875" style="306" customWidth="1"/>
    <col min="15109" max="15109" width="18.85546875" style="306" bestFit="1" customWidth="1"/>
    <col min="15110" max="15110" width="2.28515625" style="306" customWidth="1"/>
    <col min="15111" max="15111" width="50.140625" style="306" customWidth="1"/>
    <col min="15112" max="15112" width="3.7109375" style="306" customWidth="1"/>
    <col min="15113" max="15113" width="18.85546875" style="306" bestFit="1" customWidth="1"/>
    <col min="15114" max="15114" width="3.5703125" style="306" customWidth="1"/>
    <col min="15115" max="15115" width="3.28515625" style="306" customWidth="1"/>
    <col min="15116" max="15116" width="38.7109375" style="306" customWidth="1"/>
    <col min="15117" max="15117" width="3.140625" style="306" customWidth="1"/>
    <col min="15118" max="15118" width="18.140625" style="306" customWidth="1"/>
    <col min="15119" max="15360" width="11.42578125" style="306"/>
    <col min="15361" max="15362" width="3" style="306" customWidth="1"/>
    <col min="15363" max="15363" width="46" style="306" customWidth="1"/>
    <col min="15364" max="15364" width="2.85546875" style="306" customWidth="1"/>
    <col min="15365" max="15365" width="18.85546875" style="306" bestFit="1" customWidth="1"/>
    <col min="15366" max="15366" width="2.28515625" style="306" customWidth="1"/>
    <col min="15367" max="15367" width="50.140625" style="306" customWidth="1"/>
    <col min="15368" max="15368" width="3.7109375" style="306" customWidth="1"/>
    <col min="15369" max="15369" width="18.85546875" style="306" bestFit="1" customWidth="1"/>
    <col min="15370" max="15370" width="3.5703125" style="306" customWidth="1"/>
    <col min="15371" max="15371" width="3.28515625" style="306" customWidth="1"/>
    <col min="15372" max="15372" width="38.7109375" style="306" customWidth="1"/>
    <col min="15373" max="15373" width="3.140625" style="306" customWidth="1"/>
    <col min="15374" max="15374" width="18.140625" style="306" customWidth="1"/>
    <col min="15375" max="15616" width="11.42578125" style="306"/>
    <col min="15617" max="15618" width="3" style="306" customWidth="1"/>
    <col min="15619" max="15619" width="46" style="306" customWidth="1"/>
    <col min="15620" max="15620" width="2.85546875" style="306" customWidth="1"/>
    <col min="15621" max="15621" width="18.85546875" style="306" bestFit="1" customWidth="1"/>
    <col min="15622" max="15622" width="2.28515625" style="306" customWidth="1"/>
    <col min="15623" max="15623" width="50.140625" style="306" customWidth="1"/>
    <col min="15624" max="15624" width="3.7109375" style="306" customWidth="1"/>
    <col min="15625" max="15625" width="18.85546875" style="306" bestFit="1" customWidth="1"/>
    <col min="15626" max="15626" width="3.5703125" style="306" customWidth="1"/>
    <col min="15627" max="15627" width="3.28515625" style="306" customWidth="1"/>
    <col min="15628" max="15628" width="38.7109375" style="306" customWidth="1"/>
    <col min="15629" max="15629" width="3.140625" style="306" customWidth="1"/>
    <col min="15630" max="15630" width="18.140625" style="306" customWidth="1"/>
    <col min="15631" max="15872" width="11.42578125" style="306"/>
    <col min="15873" max="15874" width="3" style="306" customWidth="1"/>
    <col min="15875" max="15875" width="46" style="306" customWidth="1"/>
    <col min="15876" max="15876" width="2.85546875" style="306" customWidth="1"/>
    <col min="15877" max="15877" width="18.85546875" style="306" bestFit="1" customWidth="1"/>
    <col min="15878" max="15878" width="2.28515625" style="306" customWidth="1"/>
    <col min="15879" max="15879" width="50.140625" style="306" customWidth="1"/>
    <col min="15880" max="15880" width="3.7109375" style="306" customWidth="1"/>
    <col min="15881" max="15881" width="18.85546875" style="306" bestFit="1" customWidth="1"/>
    <col min="15882" max="15882" width="3.5703125" style="306" customWidth="1"/>
    <col min="15883" max="15883" width="3.28515625" style="306" customWidth="1"/>
    <col min="15884" max="15884" width="38.7109375" style="306" customWidth="1"/>
    <col min="15885" max="15885" width="3.140625" style="306" customWidth="1"/>
    <col min="15886" max="15886" width="18.140625" style="306" customWidth="1"/>
    <col min="15887" max="16128" width="11.42578125" style="306"/>
    <col min="16129" max="16130" width="3" style="306" customWidth="1"/>
    <col min="16131" max="16131" width="46" style="306" customWidth="1"/>
    <col min="16132" max="16132" width="2.85546875" style="306" customWidth="1"/>
    <col min="16133" max="16133" width="18.85546875" style="306" bestFit="1" customWidth="1"/>
    <col min="16134" max="16134" width="2.28515625" style="306" customWidth="1"/>
    <col min="16135" max="16135" width="50.140625" style="306" customWidth="1"/>
    <col min="16136" max="16136" width="3.7109375" style="306" customWidth="1"/>
    <col min="16137" max="16137" width="18.85546875" style="306" bestFit="1" customWidth="1"/>
    <col min="16138" max="16138" width="3.5703125" style="306" customWidth="1"/>
    <col min="16139" max="16139" width="3.28515625" style="306" customWidth="1"/>
    <col min="16140" max="16140" width="38.7109375" style="306" customWidth="1"/>
    <col min="16141" max="16141" width="3.140625" style="306" customWidth="1"/>
    <col min="16142" max="16142" width="18.140625" style="306" customWidth="1"/>
    <col min="16143" max="16384" width="11.42578125" style="306"/>
  </cols>
  <sheetData>
    <row r="1" spans="2:16" ht="9.75" customHeight="1" thickBot="1" x14ac:dyDescent="0.3"/>
    <row r="2" spans="2:16" x14ac:dyDescent="0.25">
      <c r="B2" s="310"/>
      <c r="C2" s="311"/>
      <c r="D2" s="312"/>
      <c r="E2" s="313"/>
      <c r="F2" s="311"/>
      <c r="G2" s="311"/>
      <c r="H2" s="312"/>
      <c r="I2" s="314"/>
      <c r="J2" s="315"/>
    </row>
    <row r="3" spans="2:16" x14ac:dyDescent="0.25">
      <c r="B3" s="316"/>
      <c r="C3" s="541" t="s">
        <v>251</v>
      </c>
      <c r="D3" s="541"/>
      <c r="E3" s="541"/>
      <c r="F3" s="541"/>
      <c r="G3" s="541"/>
      <c r="H3" s="541"/>
      <c r="I3" s="541"/>
      <c r="J3" s="317"/>
    </row>
    <row r="4" spans="2:16" x14ac:dyDescent="0.25">
      <c r="B4" s="316"/>
      <c r="C4" s="541" t="s">
        <v>594</v>
      </c>
      <c r="D4" s="541"/>
      <c r="E4" s="541"/>
      <c r="F4" s="541"/>
      <c r="G4" s="541"/>
      <c r="H4" s="541"/>
      <c r="I4" s="541"/>
      <c r="J4" s="317"/>
    </row>
    <row r="5" spans="2:16" x14ac:dyDescent="0.25">
      <c r="B5" s="316"/>
      <c r="C5" s="551" t="s">
        <v>595</v>
      </c>
      <c r="D5" s="551"/>
      <c r="E5" s="551"/>
      <c r="F5" s="551"/>
      <c r="G5" s="551"/>
      <c r="H5" s="551"/>
      <c r="I5" s="551"/>
      <c r="J5" s="317"/>
    </row>
    <row r="6" spans="2:16" x14ac:dyDescent="0.25">
      <c r="B6" s="316"/>
      <c r="C6" s="558"/>
      <c r="D6" s="558"/>
      <c r="E6" s="558"/>
      <c r="F6" s="558"/>
      <c r="G6" s="558"/>
      <c r="H6" s="558"/>
      <c r="I6" s="558"/>
      <c r="J6" s="317"/>
    </row>
    <row r="7" spans="2:16" x14ac:dyDescent="0.25">
      <c r="B7" s="316"/>
      <c r="C7" s="558" t="s">
        <v>660</v>
      </c>
      <c r="D7" s="558"/>
      <c r="E7" s="558"/>
      <c r="F7" s="558"/>
      <c r="G7" s="558"/>
      <c r="H7" s="558"/>
      <c r="I7" s="558"/>
      <c r="J7" s="317"/>
    </row>
    <row r="8" spans="2:16" x14ac:dyDescent="0.25">
      <c r="B8" s="316"/>
      <c r="C8" s="558" t="s">
        <v>703</v>
      </c>
      <c r="D8" s="559"/>
      <c r="E8" s="559"/>
      <c r="F8" s="559"/>
      <c r="G8" s="559"/>
      <c r="H8" s="559"/>
      <c r="I8" s="559"/>
      <c r="J8" s="317"/>
    </row>
    <row r="9" spans="2:16" ht="15.75" thickBot="1" x14ac:dyDescent="0.3">
      <c r="B9" s="316"/>
      <c r="C9" s="319"/>
      <c r="D9" s="318"/>
      <c r="E9" s="306"/>
      <c r="F9" s="306"/>
      <c r="G9" s="320"/>
      <c r="H9" s="318"/>
      <c r="I9" s="321"/>
      <c r="J9" s="317"/>
    </row>
    <row r="10" spans="2:16" x14ac:dyDescent="0.25">
      <c r="B10" s="345"/>
      <c r="C10" s="311"/>
      <c r="D10" s="312"/>
      <c r="E10" s="313"/>
      <c r="F10" s="311"/>
      <c r="G10" s="311"/>
      <c r="H10" s="312"/>
      <c r="I10" s="314"/>
      <c r="J10" s="348"/>
    </row>
    <row r="11" spans="2:16" x14ac:dyDescent="0.25">
      <c r="B11" s="343"/>
      <c r="C11" s="322" t="s">
        <v>661</v>
      </c>
      <c r="D11" s="323" t="s">
        <v>602</v>
      </c>
      <c r="E11" s="324">
        <f>'BALANCE DE COMPROBACIÓN'!F10</f>
        <v>3000000</v>
      </c>
      <c r="G11" s="322" t="s">
        <v>662</v>
      </c>
      <c r="H11" s="323" t="s">
        <v>602</v>
      </c>
      <c r="I11" s="324">
        <f>+I12</f>
        <v>0</v>
      </c>
      <c r="J11" s="349"/>
    </row>
    <row r="12" spans="2:16" x14ac:dyDescent="0.25">
      <c r="B12" s="343"/>
      <c r="C12" s="322" t="s">
        <v>657</v>
      </c>
      <c r="D12" s="323"/>
      <c r="E12" s="324"/>
      <c r="G12" s="322" t="s">
        <v>663</v>
      </c>
      <c r="H12" s="323"/>
      <c r="I12" s="324">
        <f>+I13</f>
        <v>0</v>
      </c>
      <c r="J12" s="349"/>
    </row>
    <row r="13" spans="2:16" x14ac:dyDescent="0.25">
      <c r="B13" s="343"/>
      <c r="C13" s="325" t="s">
        <v>664</v>
      </c>
      <c r="D13" s="306"/>
      <c r="E13" s="326">
        <f>'BALANCE DE COMPROBACIÓN'!D10</f>
        <v>3000000</v>
      </c>
      <c r="G13" s="325" t="s">
        <v>665</v>
      </c>
      <c r="H13" s="327"/>
      <c r="I13" s="326">
        <v>0</v>
      </c>
      <c r="J13" s="349"/>
      <c r="P13" s="324"/>
    </row>
    <row r="14" spans="2:16" x14ac:dyDescent="0.25">
      <c r="B14" s="343"/>
      <c r="C14" s="322" t="s">
        <v>666</v>
      </c>
      <c r="D14" s="306"/>
      <c r="E14" s="324">
        <f>+E15</f>
        <v>0</v>
      </c>
      <c r="G14" s="322" t="s">
        <v>667</v>
      </c>
      <c r="H14" s="323"/>
      <c r="I14" s="324">
        <f>I15</f>
        <v>15596436.735294119</v>
      </c>
      <c r="J14" s="349"/>
    </row>
    <row r="15" spans="2:16" x14ac:dyDescent="0.25">
      <c r="B15" s="343"/>
      <c r="C15" s="325" t="s">
        <v>668</v>
      </c>
      <c r="D15" s="306"/>
      <c r="E15" s="326">
        <v>0</v>
      </c>
      <c r="G15" s="325" t="s">
        <v>669</v>
      </c>
      <c r="H15" s="323"/>
      <c r="I15" s="326">
        <f>'BALANCE DE COMPROBACIÓN'!D27</f>
        <v>15596436.735294119</v>
      </c>
      <c r="J15" s="349"/>
    </row>
    <row r="16" spans="2:16" x14ac:dyDescent="0.25">
      <c r="B16" s="343"/>
      <c r="C16" s="322" t="s">
        <v>670</v>
      </c>
      <c r="D16" s="306"/>
      <c r="E16" s="324">
        <v>0</v>
      </c>
      <c r="G16" s="322" t="s">
        <v>671</v>
      </c>
      <c r="H16" s="327"/>
      <c r="I16" s="324">
        <v>0</v>
      </c>
      <c r="J16" s="349"/>
    </row>
    <row r="17" spans="2:10" x14ac:dyDescent="0.25">
      <c r="B17" s="343"/>
      <c r="C17" s="325" t="s">
        <v>672</v>
      </c>
      <c r="D17" s="306"/>
      <c r="E17" s="326">
        <v>0</v>
      </c>
      <c r="G17" s="322" t="s">
        <v>656</v>
      </c>
      <c r="H17" s="323"/>
      <c r="I17" s="324">
        <v>0</v>
      </c>
      <c r="J17" s="349"/>
    </row>
    <row r="18" spans="2:10" x14ac:dyDescent="0.25">
      <c r="B18" s="343"/>
      <c r="C18" s="322" t="s">
        <v>673</v>
      </c>
      <c r="D18" s="306"/>
      <c r="E18" s="324">
        <v>0</v>
      </c>
      <c r="G18" s="325" t="s">
        <v>674</v>
      </c>
      <c r="H18" s="323"/>
      <c r="I18" s="326">
        <v>0</v>
      </c>
      <c r="J18" s="349"/>
    </row>
    <row r="19" spans="2:10" x14ac:dyDescent="0.25">
      <c r="B19" s="343"/>
      <c r="C19" s="325" t="s">
        <v>675</v>
      </c>
      <c r="D19" s="306"/>
      <c r="E19" s="326">
        <v>0</v>
      </c>
      <c r="G19" s="325" t="s">
        <v>676</v>
      </c>
      <c r="H19" s="323"/>
      <c r="I19" s="326">
        <v>0</v>
      </c>
      <c r="J19" s="349"/>
    </row>
    <row r="20" spans="2:10" x14ac:dyDescent="0.25">
      <c r="B20" s="343"/>
      <c r="C20" s="322" t="s">
        <v>677</v>
      </c>
      <c r="D20" s="306"/>
      <c r="E20" s="324">
        <v>0</v>
      </c>
      <c r="G20" s="322" t="s">
        <v>678</v>
      </c>
      <c r="H20" s="323"/>
      <c r="I20" s="324">
        <v>0</v>
      </c>
      <c r="J20" s="349"/>
    </row>
    <row r="21" spans="2:10" x14ac:dyDescent="0.25">
      <c r="B21" s="343"/>
      <c r="C21" s="325" t="s">
        <v>679</v>
      </c>
      <c r="D21" s="325"/>
      <c r="E21" s="326">
        <v>0</v>
      </c>
      <c r="G21" s="325" t="s">
        <v>680</v>
      </c>
      <c r="H21" s="327"/>
      <c r="I21" s="326">
        <v>0</v>
      </c>
      <c r="J21" s="349"/>
    </row>
    <row r="22" spans="2:10" x14ac:dyDescent="0.25">
      <c r="B22" s="343"/>
      <c r="C22" s="322" t="s">
        <v>232</v>
      </c>
      <c r="D22" s="306"/>
      <c r="E22" s="324">
        <v>0</v>
      </c>
      <c r="G22" s="322" t="s">
        <v>681</v>
      </c>
      <c r="H22" s="323"/>
      <c r="I22" s="324">
        <v>0</v>
      </c>
      <c r="J22" s="349"/>
    </row>
    <row r="23" spans="2:10" x14ac:dyDescent="0.25">
      <c r="B23" s="343"/>
      <c r="C23" s="325" t="s">
        <v>682</v>
      </c>
      <c r="E23" s="326">
        <v>0</v>
      </c>
      <c r="G23" s="325" t="s">
        <v>683</v>
      </c>
      <c r="H23" s="327"/>
      <c r="I23" s="326">
        <v>0</v>
      </c>
      <c r="J23" s="349"/>
    </row>
    <row r="24" spans="2:10" x14ac:dyDescent="0.25">
      <c r="B24" s="343"/>
      <c r="C24" s="346" t="s">
        <v>705</v>
      </c>
      <c r="D24" s="346"/>
      <c r="E24" s="347">
        <v>0</v>
      </c>
      <c r="G24" s="325" t="s">
        <v>684</v>
      </c>
      <c r="H24" s="323"/>
      <c r="I24" s="326">
        <v>0</v>
      </c>
      <c r="J24" s="349"/>
    </row>
    <row r="25" spans="2:10" x14ac:dyDescent="0.25">
      <c r="B25" s="343"/>
      <c r="C25" s="325" t="s">
        <v>685</v>
      </c>
      <c r="D25" s="306"/>
      <c r="E25" s="326">
        <v>0</v>
      </c>
      <c r="G25" s="322" t="s">
        <v>686</v>
      </c>
      <c r="H25" s="323"/>
      <c r="I25" s="324">
        <v>0</v>
      </c>
      <c r="J25" s="349"/>
    </row>
    <row r="26" spans="2:10" x14ac:dyDescent="0.25">
      <c r="B26" s="343"/>
      <c r="C26" s="346" t="s">
        <v>704</v>
      </c>
      <c r="D26" s="346"/>
      <c r="E26" s="347">
        <v>0</v>
      </c>
      <c r="G26" s="325" t="s">
        <v>687</v>
      </c>
      <c r="H26" s="327"/>
      <c r="I26" s="326">
        <v>0</v>
      </c>
      <c r="J26" s="349"/>
    </row>
    <row r="27" spans="2:10" x14ac:dyDescent="0.25">
      <c r="B27" s="343"/>
      <c r="C27" s="322" t="s">
        <v>688</v>
      </c>
      <c r="E27" s="324">
        <v>0</v>
      </c>
      <c r="G27" s="325"/>
      <c r="H27" s="323"/>
      <c r="I27" s="326">
        <v>0</v>
      </c>
      <c r="J27" s="349"/>
    </row>
    <row r="28" spans="2:10" x14ac:dyDescent="0.25">
      <c r="B28" s="343"/>
      <c r="C28" s="325" t="s">
        <v>689</v>
      </c>
      <c r="D28" s="306"/>
      <c r="E28" s="326">
        <v>0</v>
      </c>
      <c r="G28" s="322" t="s">
        <v>690</v>
      </c>
      <c r="H28" s="323" t="s">
        <v>602</v>
      </c>
      <c r="I28" s="324">
        <f>+I29</f>
        <v>0</v>
      </c>
      <c r="J28" s="349"/>
    </row>
    <row r="29" spans="2:10" x14ac:dyDescent="0.25">
      <c r="B29" s="343"/>
      <c r="C29" s="346" t="s">
        <v>706</v>
      </c>
      <c r="D29" s="346"/>
      <c r="E29" s="347">
        <v>0</v>
      </c>
      <c r="G29" s="322" t="s">
        <v>274</v>
      </c>
      <c r="I29" s="324">
        <f>+I30</f>
        <v>0</v>
      </c>
      <c r="J29" s="349"/>
    </row>
    <row r="30" spans="2:10" x14ac:dyDescent="0.25">
      <c r="B30" s="343"/>
      <c r="C30" s="322" t="s">
        <v>691</v>
      </c>
      <c r="D30" s="306"/>
      <c r="E30" s="324">
        <v>0</v>
      </c>
      <c r="F30" s="319"/>
      <c r="G30" s="325" t="s">
        <v>692</v>
      </c>
      <c r="I30" s="326">
        <f>+I13</f>
        <v>0</v>
      </c>
      <c r="J30" s="349"/>
    </row>
    <row r="31" spans="2:10" x14ac:dyDescent="0.25">
      <c r="B31" s="343"/>
      <c r="C31" s="325" t="s">
        <v>693</v>
      </c>
      <c r="D31" s="306"/>
      <c r="E31" s="326">
        <v>0</v>
      </c>
      <c r="F31" s="319"/>
      <c r="G31" s="322" t="s">
        <v>694</v>
      </c>
      <c r="I31" s="324">
        <v>0</v>
      </c>
      <c r="J31" s="349"/>
    </row>
    <row r="32" spans="2:10" x14ac:dyDescent="0.25">
      <c r="B32" s="343"/>
      <c r="C32" s="346" t="s">
        <v>707</v>
      </c>
      <c r="D32" s="346"/>
      <c r="E32" s="347">
        <v>0</v>
      </c>
      <c r="F32" s="319"/>
      <c r="G32" s="325" t="s">
        <v>695</v>
      </c>
      <c r="H32" s="323"/>
      <c r="I32" s="326">
        <v>0</v>
      </c>
      <c r="J32" s="349"/>
    </row>
    <row r="33" spans="2:14" x14ac:dyDescent="0.25">
      <c r="B33" s="343"/>
      <c r="C33" s="322"/>
      <c r="D33" s="306"/>
      <c r="E33" s="324"/>
      <c r="F33" s="319"/>
      <c r="G33" s="322" t="s">
        <v>696</v>
      </c>
      <c r="H33" s="323"/>
      <c r="I33" s="324">
        <v>0</v>
      </c>
      <c r="J33" s="349"/>
    </row>
    <row r="34" spans="2:14" x14ac:dyDescent="0.25">
      <c r="B34" s="343"/>
      <c r="C34" s="325"/>
      <c r="D34" s="306"/>
      <c r="E34" s="326"/>
      <c r="F34" s="319"/>
      <c r="G34" s="325" t="s">
        <v>697</v>
      </c>
      <c r="H34" s="327"/>
      <c r="I34" s="326">
        <v>0</v>
      </c>
      <c r="J34" s="349"/>
    </row>
    <row r="35" spans="2:14" x14ac:dyDescent="0.25">
      <c r="B35" s="343"/>
      <c r="C35" s="325"/>
      <c r="D35" s="325"/>
      <c r="E35" s="326"/>
      <c r="F35" s="319"/>
      <c r="G35" s="325" t="s">
        <v>698</v>
      </c>
      <c r="H35" s="323"/>
      <c r="I35" s="326">
        <v>0</v>
      </c>
      <c r="J35" s="349"/>
    </row>
    <row r="36" spans="2:14" x14ac:dyDescent="0.25">
      <c r="B36" s="343"/>
      <c r="C36" s="322"/>
      <c r="E36" s="324"/>
      <c r="F36" s="319"/>
      <c r="G36" s="322" t="s">
        <v>699</v>
      </c>
      <c r="H36" s="323"/>
      <c r="I36" s="324">
        <v>0</v>
      </c>
      <c r="J36" s="349"/>
    </row>
    <row r="37" spans="2:14" x14ac:dyDescent="0.25">
      <c r="B37" s="343"/>
      <c r="C37" s="322"/>
      <c r="E37" s="324"/>
      <c r="F37" s="319"/>
      <c r="G37" s="325" t="s">
        <v>700</v>
      </c>
      <c r="H37" s="328"/>
      <c r="I37" s="326">
        <v>0</v>
      </c>
      <c r="J37" s="349"/>
    </row>
    <row r="38" spans="2:14" x14ac:dyDescent="0.25">
      <c r="B38" s="343"/>
      <c r="C38" s="322"/>
      <c r="E38" s="324"/>
      <c r="F38" s="319"/>
      <c r="G38" s="322" t="s">
        <v>701</v>
      </c>
      <c r="H38" s="306"/>
      <c r="I38" s="324">
        <v>0</v>
      </c>
      <c r="J38" s="349"/>
    </row>
    <row r="39" spans="2:14" x14ac:dyDescent="0.25">
      <c r="B39" s="343"/>
      <c r="C39" s="322"/>
      <c r="E39" s="324"/>
      <c r="G39" s="325" t="s">
        <v>702</v>
      </c>
      <c r="H39" s="323"/>
      <c r="I39" s="326">
        <v>0</v>
      </c>
      <c r="J39" s="349"/>
    </row>
    <row r="40" spans="2:14" x14ac:dyDescent="0.25">
      <c r="B40" s="343"/>
      <c r="G40" s="325"/>
      <c r="H40" s="327"/>
      <c r="I40" s="326"/>
      <c r="J40" s="349"/>
      <c r="L40" s="325"/>
      <c r="N40" s="326"/>
    </row>
    <row r="41" spans="2:14" ht="15.75" thickBot="1" x14ac:dyDescent="0.3">
      <c r="B41" s="343"/>
      <c r="C41" s="325"/>
      <c r="D41" s="323"/>
      <c r="E41" s="326"/>
      <c r="G41" s="325"/>
      <c r="H41" s="327"/>
      <c r="I41" s="326"/>
      <c r="J41" s="349"/>
    </row>
    <row r="42" spans="2:14" ht="15.75" thickBot="1" x14ac:dyDescent="0.3">
      <c r="B42" s="343"/>
      <c r="C42" s="329" t="s">
        <v>282</v>
      </c>
      <c r="D42" s="323" t="s">
        <v>602</v>
      </c>
      <c r="E42" s="330">
        <f>+E11</f>
        <v>3000000</v>
      </c>
      <c r="G42" s="329" t="s">
        <v>282</v>
      </c>
      <c r="H42" s="323" t="s">
        <v>602</v>
      </c>
      <c r="I42" s="330">
        <f>+I11+I28</f>
        <v>0</v>
      </c>
      <c r="J42" s="349"/>
    </row>
    <row r="43" spans="2:14" ht="16.5" thickTop="1" thickBot="1" x14ac:dyDescent="0.3">
      <c r="B43" s="344"/>
      <c r="C43" s="331"/>
      <c r="D43" s="332"/>
      <c r="E43" s="333"/>
      <c r="F43" s="334"/>
      <c r="G43" s="335"/>
      <c r="H43" s="336"/>
      <c r="I43" s="333"/>
      <c r="J43" s="350"/>
      <c r="L43" s="342">
        <f>+E42-I42</f>
        <v>3000000</v>
      </c>
      <c r="N43" s="326"/>
    </row>
    <row r="44" spans="2:14" x14ac:dyDescent="0.25">
      <c r="B44" s="310"/>
      <c r="C44" s="351"/>
      <c r="D44" s="352"/>
      <c r="E44" s="313"/>
      <c r="F44" s="311"/>
      <c r="G44" s="314"/>
      <c r="H44" s="353"/>
      <c r="I44" s="313"/>
      <c r="J44" s="315"/>
      <c r="L44" s="322"/>
      <c r="N44" s="324"/>
    </row>
    <row r="45" spans="2:14" x14ac:dyDescent="0.25">
      <c r="B45" s="316"/>
      <c r="C45" s="325"/>
      <c r="D45" s="327"/>
      <c r="E45" s="337"/>
      <c r="G45" s="306"/>
      <c r="H45" s="328"/>
      <c r="J45" s="317"/>
      <c r="K45" s="322"/>
    </row>
    <row r="46" spans="2:14" x14ac:dyDescent="0.25">
      <c r="B46" s="316"/>
      <c r="C46" s="248" t="s">
        <v>618</v>
      </c>
      <c r="D46" s="327"/>
      <c r="E46" s="337"/>
      <c r="G46" s="553" t="s">
        <v>621</v>
      </c>
      <c r="H46" s="553"/>
      <c r="I46" s="553"/>
      <c r="J46" s="317"/>
      <c r="K46" s="322"/>
      <c r="L46" s="325"/>
      <c r="N46" s="326"/>
    </row>
    <row r="47" spans="2:14" x14ac:dyDescent="0.25">
      <c r="B47" s="316"/>
      <c r="C47" s="248" t="s">
        <v>619</v>
      </c>
      <c r="D47" s="328"/>
      <c r="E47" s="306"/>
      <c r="F47" s="306"/>
      <c r="G47" s="306"/>
      <c r="H47" s="328"/>
      <c r="J47" s="317"/>
      <c r="K47" s="325"/>
    </row>
    <row r="48" spans="2:14" ht="15.75" thickBot="1" x14ac:dyDescent="0.3">
      <c r="B48" s="316"/>
      <c r="C48" s="258" t="s">
        <v>620</v>
      </c>
      <c r="E48" s="337"/>
      <c r="G48" s="555" t="s">
        <v>648</v>
      </c>
      <c r="H48" s="555"/>
      <c r="I48" s="555"/>
      <c r="J48" s="557"/>
      <c r="K48" s="325"/>
    </row>
    <row r="49" spans="2:14" x14ac:dyDescent="0.25">
      <c r="B49" s="316"/>
      <c r="E49" s="337"/>
      <c r="J49" s="317"/>
      <c r="L49" s="322"/>
      <c r="N49" s="324"/>
    </row>
    <row r="50" spans="2:14" x14ac:dyDescent="0.25">
      <c r="B50" s="316"/>
      <c r="E50" s="337"/>
      <c r="J50" s="317"/>
    </row>
    <row r="51" spans="2:14" ht="15.75" thickBot="1" x14ac:dyDescent="0.3">
      <c r="B51" s="338"/>
      <c r="C51" s="335"/>
      <c r="D51" s="336"/>
      <c r="E51" s="335"/>
      <c r="F51" s="335"/>
      <c r="G51" s="335"/>
      <c r="H51" s="336"/>
      <c r="I51" s="335"/>
      <c r="J51" s="339"/>
    </row>
    <row r="52" spans="2:14" x14ac:dyDescent="0.25">
      <c r="C52" s="306"/>
      <c r="D52" s="328"/>
      <c r="E52" s="306"/>
      <c r="F52" s="306"/>
      <c r="G52" s="306"/>
      <c r="H52" s="328"/>
    </row>
    <row r="53" spans="2:14" x14ac:dyDescent="0.25">
      <c r="C53" s="306"/>
      <c r="D53" s="328"/>
      <c r="E53" s="306"/>
      <c r="F53" s="306"/>
      <c r="G53" s="306"/>
      <c r="H53" s="328"/>
    </row>
    <row r="54" spans="2:14" x14ac:dyDescent="0.25">
      <c r="C54" s="340"/>
      <c r="D54" s="341"/>
      <c r="E54" s="340"/>
      <c r="F54" s="340"/>
      <c r="G54" s="340"/>
      <c r="H54" s="341"/>
    </row>
    <row r="55" spans="2:14" x14ac:dyDescent="0.25">
      <c r="C55" s="340"/>
      <c r="D55" s="341"/>
      <c r="E55" s="340"/>
      <c r="F55" s="340"/>
      <c r="G55" s="340"/>
      <c r="H55" s="341"/>
    </row>
    <row r="56" spans="2:14" x14ac:dyDescent="0.25">
      <c r="E56" s="337"/>
    </row>
    <row r="58" spans="2:14" x14ac:dyDescent="0.25">
      <c r="C58" s="306"/>
      <c r="D58" s="328"/>
      <c r="E58" s="306"/>
      <c r="F58" s="306"/>
      <c r="G58" s="306"/>
      <c r="H58" s="328"/>
    </row>
    <row r="59" spans="2:14" x14ac:dyDescent="0.25">
      <c r="C59" s="306"/>
      <c r="D59" s="328"/>
      <c r="E59" s="306"/>
      <c r="F59" s="306"/>
      <c r="G59" s="306"/>
      <c r="H59" s="328"/>
    </row>
    <row r="60" spans="2:14" x14ac:dyDescent="0.25">
      <c r="C60" s="306"/>
      <c r="D60" s="328"/>
      <c r="E60" s="306"/>
      <c r="F60" s="306"/>
      <c r="G60" s="306"/>
      <c r="H60" s="328"/>
    </row>
    <row r="61" spans="2:14" x14ac:dyDescent="0.25">
      <c r="C61" s="306"/>
      <c r="D61" s="328"/>
      <c r="E61" s="306"/>
      <c r="F61" s="306"/>
      <c r="G61" s="306"/>
      <c r="H61" s="328"/>
    </row>
    <row r="62" spans="2:14" x14ac:dyDescent="0.25">
      <c r="C62" s="306"/>
      <c r="D62" s="328"/>
      <c r="E62" s="306"/>
      <c r="F62" s="306"/>
      <c r="G62" s="306"/>
      <c r="H62" s="328"/>
    </row>
    <row r="63" spans="2:14" x14ac:dyDescent="0.25">
      <c r="C63" s="306"/>
      <c r="D63" s="328"/>
      <c r="E63" s="306"/>
      <c r="F63" s="306"/>
      <c r="G63" s="306"/>
      <c r="H63" s="328"/>
    </row>
    <row r="64" spans="2:14" x14ac:dyDescent="0.25">
      <c r="C64" s="306"/>
      <c r="D64" s="328"/>
      <c r="E64" s="306"/>
      <c r="F64" s="306"/>
      <c r="G64" s="306"/>
      <c r="H64" s="328"/>
    </row>
    <row r="65" spans="3:8" x14ac:dyDescent="0.25">
      <c r="C65" s="306"/>
      <c r="D65" s="328"/>
      <c r="E65" s="306"/>
      <c r="F65" s="306"/>
      <c r="G65" s="306"/>
      <c r="H65" s="328"/>
    </row>
    <row r="66" spans="3:8" x14ac:dyDescent="0.25">
      <c r="C66" s="306"/>
      <c r="D66" s="328"/>
      <c r="E66" s="306"/>
      <c r="F66" s="306"/>
      <c r="G66" s="306"/>
      <c r="H66" s="328"/>
    </row>
    <row r="67" spans="3:8" x14ac:dyDescent="0.25">
      <c r="C67" s="306"/>
      <c r="D67" s="328"/>
      <c r="E67" s="306"/>
      <c r="F67" s="306"/>
      <c r="G67" s="306"/>
      <c r="H67" s="328"/>
    </row>
    <row r="68" spans="3:8" x14ac:dyDescent="0.25">
      <c r="C68" s="306"/>
      <c r="D68" s="328"/>
      <c r="E68" s="306"/>
      <c r="F68" s="306"/>
      <c r="G68" s="306"/>
      <c r="H68" s="328"/>
    </row>
    <row r="69" spans="3:8" x14ac:dyDescent="0.25">
      <c r="C69" s="306"/>
      <c r="D69" s="328"/>
      <c r="E69" s="306"/>
      <c r="F69" s="306"/>
      <c r="G69" s="306"/>
      <c r="H69" s="328"/>
    </row>
    <row r="70" spans="3:8" x14ac:dyDescent="0.25">
      <c r="C70" s="306"/>
      <c r="D70" s="328"/>
      <c r="E70" s="306"/>
      <c r="F70" s="306"/>
      <c r="G70" s="306"/>
      <c r="H70" s="328"/>
    </row>
    <row r="71" spans="3:8" x14ac:dyDescent="0.25">
      <c r="C71" s="306"/>
      <c r="D71" s="328"/>
      <c r="E71" s="306"/>
      <c r="F71" s="306"/>
      <c r="G71" s="306"/>
      <c r="H71" s="328"/>
    </row>
    <row r="72" spans="3:8" x14ac:dyDescent="0.25">
      <c r="C72" s="306"/>
      <c r="D72" s="328"/>
      <c r="E72" s="306"/>
      <c r="F72" s="306"/>
      <c r="G72" s="306"/>
      <c r="H72" s="328"/>
    </row>
    <row r="73" spans="3:8" x14ac:dyDescent="0.25">
      <c r="C73" s="306"/>
      <c r="D73" s="328"/>
      <c r="E73" s="306"/>
      <c r="F73" s="306"/>
      <c r="G73" s="306"/>
      <c r="H73" s="328"/>
    </row>
    <row r="74" spans="3:8" x14ac:dyDescent="0.25">
      <c r="C74" s="306"/>
      <c r="D74" s="328"/>
      <c r="E74" s="306"/>
      <c r="F74" s="306"/>
      <c r="G74" s="306"/>
      <c r="H74" s="328"/>
    </row>
    <row r="75" spans="3:8" x14ac:dyDescent="0.25">
      <c r="C75" s="306"/>
      <c r="D75" s="328"/>
      <c r="E75" s="306"/>
      <c r="F75" s="306"/>
      <c r="G75" s="306"/>
      <c r="H75" s="328"/>
    </row>
    <row r="76" spans="3:8" x14ac:dyDescent="0.25">
      <c r="C76" s="306"/>
      <c r="D76" s="328"/>
      <c r="E76" s="306"/>
      <c r="F76" s="306"/>
      <c r="G76" s="306"/>
      <c r="H76" s="328"/>
    </row>
    <row r="77" spans="3:8" x14ac:dyDescent="0.25">
      <c r="C77" s="306"/>
      <c r="D77" s="328"/>
      <c r="E77" s="306"/>
      <c r="F77" s="306"/>
      <c r="G77" s="306"/>
      <c r="H77" s="328"/>
    </row>
    <row r="78" spans="3:8" x14ac:dyDescent="0.25">
      <c r="C78" s="306"/>
      <c r="D78" s="328"/>
      <c r="E78" s="306"/>
      <c r="F78" s="306"/>
      <c r="G78" s="306"/>
      <c r="H78" s="328"/>
    </row>
    <row r="79" spans="3:8" x14ac:dyDescent="0.25">
      <c r="C79" s="306"/>
      <c r="D79" s="328"/>
      <c r="E79" s="306"/>
      <c r="F79" s="306"/>
      <c r="G79" s="306"/>
      <c r="H79" s="328"/>
    </row>
    <row r="80" spans="3:8" x14ac:dyDescent="0.25">
      <c r="C80" s="306"/>
      <c r="D80" s="328"/>
      <c r="E80" s="306"/>
      <c r="F80" s="306"/>
      <c r="G80" s="306"/>
      <c r="H80" s="328"/>
    </row>
    <row r="81" spans="3:8" x14ac:dyDescent="0.25">
      <c r="C81" s="306"/>
      <c r="D81" s="328"/>
      <c r="E81" s="306"/>
      <c r="F81" s="306"/>
      <c r="G81" s="306"/>
      <c r="H81" s="328"/>
    </row>
    <row r="82" spans="3:8" x14ac:dyDescent="0.25">
      <c r="C82" s="306"/>
      <c r="D82" s="328"/>
      <c r="E82" s="306"/>
      <c r="F82" s="306"/>
      <c r="G82" s="306"/>
      <c r="H82" s="328"/>
    </row>
    <row r="83" spans="3:8" x14ac:dyDescent="0.25">
      <c r="C83" s="306"/>
      <c r="D83" s="328"/>
      <c r="E83" s="306"/>
      <c r="F83" s="306"/>
      <c r="G83" s="306"/>
      <c r="H83" s="328"/>
    </row>
    <row r="84" spans="3:8" x14ac:dyDescent="0.25">
      <c r="C84" s="306"/>
      <c r="D84" s="328"/>
      <c r="E84" s="306"/>
      <c r="F84" s="306"/>
      <c r="G84" s="306"/>
      <c r="H84" s="328"/>
    </row>
    <row r="85" spans="3:8" x14ac:dyDescent="0.25">
      <c r="C85" s="306"/>
      <c r="D85" s="328"/>
      <c r="E85" s="306"/>
      <c r="F85" s="306"/>
      <c r="G85" s="306"/>
      <c r="H85" s="328"/>
    </row>
    <row r="86" spans="3:8" x14ac:dyDescent="0.25">
      <c r="C86" s="306"/>
      <c r="D86" s="328"/>
      <c r="E86" s="306"/>
      <c r="F86" s="306"/>
      <c r="G86" s="306"/>
      <c r="H86" s="328"/>
    </row>
    <row r="87" spans="3:8" x14ac:dyDescent="0.25">
      <c r="C87" s="306"/>
      <c r="D87" s="328"/>
      <c r="E87" s="306"/>
      <c r="F87" s="306"/>
      <c r="G87" s="306"/>
      <c r="H87" s="328"/>
    </row>
    <row r="88" spans="3:8" x14ac:dyDescent="0.25">
      <c r="C88" s="306"/>
      <c r="D88" s="328"/>
      <c r="E88" s="306"/>
      <c r="F88" s="306"/>
      <c r="G88" s="306"/>
      <c r="H88" s="328"/>
    </row>
    <row r="89" spans="3:8" x14ac:dyDescent="0.25">
      <c r="C89" s="306"/>
      <c r="D89" s="328"/>
      <c r="E89" s="306"/>
      <c r="F89" s="306"/>
      <c r="G89" s="306"/>
      <c r="H89" s="328"/>
    </row>
    <row r="90" spans="3:8" x14ac:dyDescent="0.25">
      <c r="C90" s="306"/>
      <c r="D90" s="328"/>
      <c r="E90" s="306"/>
      <c r="F90" s="306"/>
      <c r="G90" s="306"/>
      <c r="H90" s="328"/>
    </row>
    <row r="91" spans="3:8" x14ac:dyDescent="0.25">
      <c r="C91" s="306"/>
      <c r="D91" s="328"/>
      <c r="E91" s="306"/>
      <c r="F91" s="306"/>
      <c r="G91" s="306"/>
      <c r="H91" s="328"/>
    </row>
    <row r="92" spans="3:8" x14ac:dyDescent="0.25">
      <c r="C92" s="306"/>
      <c r="D92" s="328"/>
      <c r="E92" s="306"/>
      <c r="F92" s="306"/>
      <c r="G92" s="306"/>
      <c r="H92" s="328"/>
    </row>
    <row r="93" spans="3:8" x14ac:dyDescent="0.25">
      <c r="C93" s="306"/>
      <c r="D93" s="328"/>
      <c r="E93" s="306"/>
      <c r="F93" s="306"/>
      <c r="G93" s="306"/>
      <c r="H93" s="328"/>
    </row>
    <row r="94" spans="3:8" x14ac:dyDescent="0.25">
      <c r="C94" s="306"/>
      <c r="D94" s="328"/>
      <c r="E94" s="306"/>
      <c r="F94" s="306"/>
      <c r="G94" s="306"/>
      <c r="H94" s="328"/>
    </row>
    <row r="95" spans="3:8" x14ac:dyDescent="0.25">
      <c r="C95" s="306"/>
      <c r="D95" s="328"/>
      <c r="E95" s="306"/>
      <c r="F95" s="306"/>
      <c r="G95" s="306"/>
      <c r="H95" s="328"/>
    </row>
    <row r="96" spans="3:8" x14ac:dyDescent="0.25">
      <c r="C96" s="306"/>
      <c r="D96" s="328"/>
      <c r="E96" s="306"/>
      <c r="F96" s="306"/>
      <c r="G96" s="306"/>
      <c r="H96" s="328"/>
    </row>
    <row r="97" spans="3:8" x14ac:dyDescent="0.25">
      <c r="C97" s="306"/>
      <c r="D97" s="328"/>
      <c r="E97" s="306"/>
      <c r="F97" s="306"/>
      <c r="G97" s="306"/>
      <c r="H97" s="328"/>
    </row>
    <row r="98" spans="3:8" x14ac:dyDescent="0.25">
      <c r="C98" s="306"/>
      <c r="D98" s="328"/>
      <c r="E98" s="306"/>
      <c r="F98" s="306"/>
      <c r="G98" s="306"/>
      <c r="H98" s="328"/>
    </row>
    <row r="99" spans="3:8" x14ac:dyDescent="0.25">
      <c r="C99" s="306"/>
      <c r="D99" s="328"/>
      <c r="E99" s="306"/>
      <c r="F99" s="306"/>
      <c r="G99" s="306"/>
      <c r="H99" s="328"/>
    </row>
    <row r="100" spans="3:8" x14ac:dyDescent="0.25">
      <c r="C100" s="306"/>
      <c r="D100" s="328"/>
      <c r="E100" s="306"/>
      <c r="F100" s="306"/>
      <c r="G100" s="306"/>
      <c r="H100" s="328"/>
    </row>
  </sheetData>
  <mergeCells count="8">
    <mergeCell ref="G46:I46"/>
    <mergeCell ref="G48:J48"/>
    <mergeCell ref="C3:I3"/>
    <mergeCell ref="C4:I4"/>
    <mergeCell ref="C5:I5"/>
    <mergeCell ref="C6:I6"/>
    <mergeCell ref="C7:I7"/>
    <mergeCell ref="C8:I8"/>
  </mergeCells>
  <pageMargins left="0.39370078740157483" right="0.39370078740157483" top="0.39370078740157483" bottom="0.74803149606299213" header="0.31496062992125984" footer="0.31496062992125984"/>
  <pageSetup scale="65" orientation="portrait" horizontalDpi="4294967293" r:id="rId1"/>
  <headerFooter>
    <oddFooter xml:space="preserve">&amp;CPágina &amp;P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0686A-F986-4D53-9506-6CC0C5681FD4}">
  <dimension ref="B4:O76"/>
  <sheetViews>
    <sheetView topLeftCell="A41" zoomScale="80" zoomScaleNormal="80" workbookViewId="0">
      <selection activeCell="M76" sqref="M76"/>
    </sheetView>
  </sheetViews>
  <sheetFormatPr baseColWidth="10" defaultRowHeight="15" x14ac:dyDescent="0.25"/>
  <cols>
    <col min="2" max="2" width="11.7109375" customWidth="1"/>
    <col min="4" max="4" width="15.140625" customWidth="1"/>
    <col min="5" max="5" width="18.28515625" customWidth="1"/>
    <col min="6" max="6" width="3.7109375" customWidth="1"/>
    <col min="7" max="7" width="4.28515625" customWidth="1"/>
    <col min="8" max="9" width="3.7109375" customWidth="1"/>
    <col min="10" max="10" width="3.28515625" customWidth="1"/>
    <col min="11" max="11" width="34.7109375" customWidth="1"/>
    <col min="12" max="12" width="21.28515625" customWidth="1"/>
  </cols>
  <sheetData>
    <row r="4" spans="2:15" x14ac:dyDescent="0.25">
      <c r="B4" s="471" t="s">
        <v>428</v>
      </c>
      <c r="C4" s="471"/>
      <c r="D4" s="471"/>
      <c r="E4" s="471"/>
      <c r="F4" s="471"/>
      <c r="G4" s="471"/>
      <c r="H4" s="471"/>
      <c r="I4" s="471"/>
      <c r="J4" s="471"/>
      <c r="K4" s="471"/>
      <c r="L4" s="471"/>
    </row>
    <row r="6" spans="2:15" x14ac:dyDescent="0.25">
      <c r="B6" s="54" t="s">
        <v>429</v>
      </c>
      <c r="C6" s="37" t="s">
        <v>430</v>
      </c>
      <c r="D6" s="37"/>
      <c r="E6" s="37"/>
      <c r="G6" s="54" t="s">
        <v>431</v>
      </c>
      <c r="J6" s="37"/>
      <c r="K6" s="37" t="s">
        <v>166</v>
      </c>
    </row>
    <row r="8" spans="2:15" x14ac:dyDescent="0.25">
      <c r="B8" s="54" t="s">
        <v>217</v>
      </c>
      <c r="C8" s="37"/>
      <c r="D8" s="37"/>
      <c r="E8" s="37"/>
      <c r="G8" s="54" t="s">
        <v>432</v>
      </c>
      <c r="I8" s="37"/>
      <c r="J8" s="37"/>
      <c r="K8" s="37" t="s">
        <v>433</v>
      </c>
    </row>
    <row r="9" spans="2:15" x14ac:dyDescent="0.25">
      <c r="B9" s="54"/>
    </row>
    <row r="10" spans="2:15" x14ac:dyDescent="0.25">
      <c r="F10" s="472" t="s">
        <v>434</v>
      </c>
      <c r="G10" s="472"/>
      <c r="H10" s="472"/>
      <c r="I10" s="472"/>
      <c r="J10" s="472"/>
      <c r="K10" s="472"/>
      <c r="L10" s="473" t="s">
        <v>435</v>
      </c>
    </row>
    <row r="11" spans="2:15" x14ac:dyDescent="0.25">
      <c r="B11" s="472" t="s">
        <v>0</v>
      </c>
      <c r="C11" s="472" t="s">
        <v>436</v>
      </c>
      <c r="D11" s="472"/>
      <c r="E11" s="472" t="s">
        <v>437</v>
      </c>
      <c r="F11" s="472" t="s">
        <v>438</v>
      </c>
      <c r="G11" s="472"/>
      <c r="H11" s="472"/>
      <c r="I11" s="472"/>
      <c r="J11" s="472"/>
      <c r="K11" s="53" t="s">
        <v>439</v>
      </c>
      <c r="L11" s="473"/>
      <c r="M11" s="467" t="s">
        <v>440</v>
      </c>
      <c r="N11" s="468"/>
      <c r="O11" t="s">
        <v>437</v>
      </c>
    </row>
    <row r="12" spans="2:15" x14ac:dyDescent="0.25">
      <c r="B12" s="472"/>
      <c r="C12" s="472"/>
      <c r="D12" s="472"/>
      <c r="E12" s="472"/>
      <c r="F12" s="185">
        <v>1</v>
      </c>
      <c r="G12" s="5">
        <v>2</v>
      </c>
      <c r="H12" s="5">
        <v>3</v>
      </c>
      <c r="I12" s="5">
        <v>4</v>
      </c>
      <c r="J12" s="5">
        <v>5</v>
      </c>
      <c r="K12" s="85"/>
      <c r="L12" s="473"/>
    </row>
    <row r="13" spans="2:15" ht="45" x14ac:dyDescent="0.25">
      <c r="B13" s="2">
        <v>6010</v>
      </c>
      <c r="C13" s="465" t="s">
        <v>441</v>
      </c>
      <c r="D13" s="466"/>
      <c r="E13" s="24">
        <v>1</v>
      </c>
      <c r="F13" s="2"/>
      <c r="G13" s="2"/>
      <c r="H13" s="2"/>
      <c r="I13" s="2"/>
      <c r="J13" s="2" t="s">
        <v>146</v>
      </c>
      <c r="K13" s="6" t="s">
        <v>442</v>
      </c>
      <c r="L13" s="2">
        <v>6010</v>
      </c>
      <c r="M13" t="s">
        <v>443</v>
      </c>
      <c r="N13">
        <v>120</v>
      </c>
      <c r="O13" s="98">
        <f>N13/120</f>
        <v>1</v>
      </c>
    </row>
    <row r="14" spans="2:15" x14ac:dyDescent="0.25">
      <c r="B14" s="2"/>
      <c r="C14" s="465"/>
      <c r="D14" s="466"/>
      <c r="E14" s="186"/>
      <c r="F14" s="2"/>
      <c r="G14" s="2"/>
      <c r="H14" s="2"/>
      <c r="I14" s="2"/>
      <c r="J14" s="2"/>
      <c r="K14" s="2"/>
      <c r="L14" s="2"/>
    </row>
    <row r="15" spans="2:15" x14ac:dyDescent="0.25">
      <c r="B15" s="2"/>
      <c r="C15" s="465"/>
      <c r="D15" s="466"/>
      <c r="E15" s="186"/>
      <c r="F15" s="2"/>
      <c r="G15" s="2"/>
      <c r="H15" s="2"/>
      <c r="I15" s="2"/>
      <c r="J15" s="2"/>
      <c r="K15" s="24"/>
      <c r="L15" s="2"/>
    </row>
    <row r="16" spans="2:15" x14ac:dyDescent="0.25">
      <c r="B16" s="2"/>
      <c r="C16" s="465"/>
      <c r="D16" s="466"/>
      <c r="E16" s="186"/>
      <c r="F16" s="2"/>
      <c r="G16" s="2"/>
      <c r="H16" s="2"/>
      <c r="I16" s="2"/>
      <c r="J16" s="2"/>
      <c r="K16" s="19"/>
      <c r="L16" s="2"/>
    </row>
    <row r="19" spans="2:15" x14ac:dyDescent="0.25">
      <c r="B19" s="471" t="s">
        <v>428</v>
      </c>
      <c r="C19" s="471"/>
      <c r="D19" s="471"/>
      <c r="E19" s="471"/>
      <c r="F19" s="471"/>
      <c r="G19" s="471"/>
      <c r="H19" s="471"/>
      <c r="I19" s="471"/>
      <c r="J19" s="471"/>
      <c r="K19" s="471"/>
      <c r="L19" s="471"/>
    </row>
    <row r="21" spans="2:15" x14ac:dyDescent="0.25">
      <c r="B21" s="54" t="s">
        <v>429</v>
      </c>
      <c r="C21" s="37" t="s">
        <v>444</v>
      </c>
      <c r="D21" s="37"/>
      <c r="E21" s="37"/>
      <c r="G21" s="54" t="s">
        <v>431</v>
      </c>
      <c r="J21" s="37"/>
      <c r="K21" s="37" t="s">
        <v>165</v>
      </c>
    </row>
    <row r="23" spans="2:15" x14ac:dyDescent="0.25">
      <c r="B23" s="54" t="s">
        <v>217</v>
      </c>
      <c r="C23" s="37" t="s">
        <v>497</v>
      </c>
      <c r="D23" s="37"/>
      <c r="E23" s="37"/>
      <c r="G23" s="54" t="s">
        <v>432</v>
      </c>
      <c r="I23" s="37"/>
      <c r="J23" s="37"/>
      <c r="K23" s="37" t="s">
        <v>433</v>
      </c>
    </row>
    <row r="24" spans="2:15" x14ac:dyDescent="0.25">
      <c r="B24" s="54"/>
    </row>
    <row r="25" spans="2:15" x14ac:dyDescent="0.25">
      <c r="F25" s="472" t="s">
        <v>434</v>
      </c>
      <c r="G25" s="472"/>
      <c r="H25" s="472"/>
      <c r="I25" s="472"/>
      <c r="J25" s="472"/>
      <c r="K25" s="472"/>
      <c r="L25" s="473" t="s">
        <v>435</v>
      </c>
    </row>
    <row r="26" spans="2:15" x14ac:dyDescent="0.25">
      <c r="B26" s="472" t="s">
        <v>0</v>
      </c>
      <c r="C26" s="472" t="s">
        <v>436</v>
      </c>
      <c r="D26" s="472"/>
      <c r="E26" s="472" t="s">
        <v>437</v>
      </c>
      <c r="F26" s="472" t="s">
        <v>438</v>
      </c>
      <c r="G26" s="472"/>
      <c r="H26" s="472"/>
      <c r="I26" s="472"/>
      <c r="J26" s="472"/>
      <c r="K26" s="53" t="s">
        <v>439</v>
      </c>
      <c r="L26" s="473"/>
    </row>
    <row r="27" spans="2:15" x14ac:dyDescent="0.25">
      <c r="B27" s="472"/>
      <c r="C27" s="472"/>
      <c r="D27" s="472"/>
      <c r="E27" s="472"/>
      <c r="F27" s="185">
        <v>1</v>
      </c>
      <c r="G27" s="5">
        <v>2</v>
      </c>
      <c r="H27" s="5">
        <v>3</v>
      </c>
      <c r="I27" s="5">
        <v>4</v>
      </c>
      <c r="J27" s="5">
        <v>5</v>
      </c>
      <c r="K27" s="85"/>
      <c r="L27" s="473"/>
    </row>
    <row r="28" spans="2:15" x14ac:dyDescent="0.25">
      <c r="B28" s="1"/>
      <c r="C28" s="53"/>
      <c r="D28" s="87"/>
      <c r="E28" s="1"/>
      <c r="F28" s="185"/>
      <c r="G28" s="5"/>
      <c r="H28" s="5"/>
      <c r="I28" s="5"/>
      <c r="J28" s="5"/>
      <c r="K28" s="85"/>
      <c r="L28" s="5"/>
      <c r="M28" s="467" t="s">
        <v>440</v>
      </c>
      <c r="N28" s="468"/>
      <c r="O28" s="54" t="s">
        <v>495</v>
      </c>
    </row>
    <row r="29" spans="2:15" ht="30" x14ac:dyDescent="0.25">
      <c r="B29" s="2">
        <v>6001</v>
      </c>
      <c r="C29" s="465" t="s">
        <v>140</v>
      </c>
      <c r="D29" s="466"/>
      <c r="E29" s="69">
        <v>2.5000000000000001E-2</v>
      </c>
      <c r="F29" s="2" t="s">
        <v>146</v>
      </c>
      <c r="G29" s="2"/>
      <c r="H29" s="2"/>
      <c r="I29" s="2"/>
      <c r="J29" s="2"/>
      <c r="K29" s="6" t="s">
        <v>445</v>
      </c>
      <c r="L29" s="19">
        <v>6001</v>
      </c>
      <c r="M29" t="s">
        <v>446</v>
      </c>
      <c r="N29">
        <v>60</v>
      </c>
      <c r="O29" s="98">
        <f>N29/N39</f>
        <v>0.125</v>
      </c>
    </row>
    <row r="30" spans="2:15" ht="30" x14ac:dyDescent="0.25">
      <c r="B30" s="2">
        <v>6002</v>
      </c>
      <c r="C30" s="465" t="s">
        <v>142</v>
      </c>
      <c r="D30" s="466"/>
      <c r="E30" s="69">
        <v>2.5000000000000001E-2</v>
      </c>
      <c r="F30" s="2"/>
      <c r="G30" s="2" t="s">
        <v>146</v>
      </c>
      <c r="H30" s="2"/>
      <c r="I30" s="2"/>
      <c r="J30" s="2"/>
      <c r="K30" s="6" t="s">
        <v>447</v>
      </c>
      <c r="L30" s="19">
        <v>6002</v>
      </c>
      <c r="M30" t="s">
        <v>189</v>
      </c>
      <c r="N30">
        <v>45</v>
      </c>
      <c r="O30" s="98">
        <f>N30/N39</f>
        <v>9.375E-2</v>
      </c>
    </row>
    <row r="31" spans="2:15" x14ac:dyDescent="0.25">
      <c r="B31" s="2">
        <v>6003</v>
      </c>
      <c r="C31" s="465" t="s">
        <v>144</v>
      </c>
      <c r="D31" s="466"/>
      <c r="E31" s="24">
        <v>0.05</v>
      </c>
      <c r="F31" s="2"/>
      <c r="G31" s="2"/>
      <c r="H31" s="2" t="s">
        <v>146</v>
      </c>
      <c r="I31" s="2"/>
      <c r="J31" s="2"/>
      <c r="K31" s="24" t="s">
        <v>448</v>
      </c>
      <c r="L31" s="19">
        <v>6003</v>
      </c>
      <c r="M31" t="s">
        <v>446</v>
      </c>
      <c r="N31">
        <v>60</v>
      </c>
      <c r="O31" s="98">
        <f>N31/N38</f>
        <v>0.125</v>
      </c>
    </row>
    <row r="32" spans="2:15" ht="30" x14ac:dyDescent="0.25">
      <c r="B32" s="2">
        <v>6004</v>
      </c>
      <c r="C32" s="465" t="s">
        <v>147</v>
      </c>
      <c r="D32" s="466"/>
      <c r="E32" s="24">
        <v>0.05</v>
      </c>
      <c r="F32" s="2"/>
      <c r="G32" s="2"/>
      <c r="H32" s="2"/>
      <c r="I32" s="2" t="s">
        <v>146</v>
      </c>
      <c r="J32" s="2"/>
      <c r="K32" s="3" t="s">
        <v>449</v>
      </c>
      <c r="L32" s="19">
        <v>6004</v>
      </c>
      <c r="M32" t="s">
        <v>189</v>
      </c>
      <c r="N32">
        <v>45</v>
      </c>
      <c r="O32" s="98">
        <f>N32/N38</f>
        <v>9.375E-2</v>
      </c>
    </row>
    <row r="33" spans="2:15" x14ac:dyDescent="0.25">
      <c r="B33" s="2">
        <v>6005</v>
      </c>
      <c r="C33" s="465" t="s">
        <v>150</v>
      </c>
      <c r="D33" s="466"/>
      <c r="E33" s="24">
        <v>0.05</v>
      </c>
      <c r="F33" s="2"/>
      <c r="G33" s="2"/>
      <c r="H33" s="2" t="s">
        <v>146</v>
      </c>
      <c r="I33" s="2"/>
      <c r="J33" s="2"/>
      <c r="K33" s="2" t="s">
        <v>450</v>
      </c>
      <c r="L33" s="19">
        <v>6005</v>
      </c>
      <c r="M33" t="s">
        <v>446</v>
      </c>
      <c r="N33">
        <v>60</v>
      </c>
      <c r="O33" s="98">
        <f>N33/N38</f>
        <v>0.125</v>
      </c>
    </row>
    <row r="34" spans="2:15" x14ac:dyDescent="0.25">
      <c r="B34" s="2">
        <v>6006</v>
      </c>
      <c r="C34" s="465" t="s">
        <v>153</v>
      </c>
      <c r="D34" s="466"/>
      <c r="E34" s="24">
        <v>0.05</v>
      </c>
      <c r="F34" s="2"/>
      <c r="G34" s="2"/>
      <c r="H34" s="2"/>
      <c r="I34" s="2" t="s">
        <v>146</v>
      </c>
      <c r="J34" s="2"/>
      <c r="K34" s="2" t="s">
        <v>451</v>
      </c>
      <c r="L34" s="19">
        <v>6006</v>
      </c>
      <c r="M34" t="s">
        <v>196</v>
      </c>
      <c r="N34">
        <v>40</v>
      </c>
      <c r="O34" s="98">
        <f>N34/N38</f>
        <v>8.3333333333333329E-2</v>
      </c>
    </row>
    <row r="35" spans="2:15" ht="30" x14ac:dyDescent="0.25">
      <c r="B35" s="2">
        <v>6007</v>
      </c>
      <c r="C35" s="465" t="s">
        <v>155</v>
      </c>
      <c r="D35" s="466"/>
      <c r="E35" s="69">
        <v>7.4999999999999997E-2</v>
      </c>
      <c r="F35" s="2"/>
      <c r="G35" s="2"/>
      <c r="H35" s="2"/>
      <c r="I35" s="2" t="s">
        <v>146</v>
      </c>
      <c r="J35" s="2"/>
      <c r="K35" s="6" t="s">
        <v>452</v>
      </c>
      <c r="L35" s="19">
        <v>6007</v>
      </c>
      <c r="M35" t="s">
        <v>446</v>
      </c>
      <c r="N35">
        <v>60</v>
      </c>
      <c r="O35" s="98">
        <f>N35/N38</f>
        <v>0.125</v>
      </c>
    </row>
    <row r="36" spans="2:15" ht="30" x14ac:dyDescent="0.25">
      <c r="B36" s="2">
        <v>6008</v>
      </c>
      <c r="C36" s="465" t="s">
        <v>156</v>
      </c>
      <c r="D36" s="466"/>
      <c r="E36" s="24">
        <v>0.1</v>
      </c>
      <c r="F36" s="2"/>
      <c r="G36" s="2"/>
      <c r="H36" s="2"/>
      <c r="I36" s="2"/>
      <c r="J36" s="2" t="s">
        <v>146</v>
      </c>
      <c r="K36" s="6" t="s">
        <v>453</v>
      </c>
      <c r="L36" s="19">
        <v>6008</v>
      </c>
      <c r="M36" t="s">
        <v>195</v>
      </c>
      <c r="N36">
        <v>50</v>
      </c>
      <c r="O36" s="98">
        <f>N36/N38</f>
        <v>0.10416666666666667</v>
      </c>
    </row>
    <row r="37" spans="2:15" ht="30" x14ac:dyDescent="0.25">
      <c r="B37" s="2">
        <v>6009</v>
      </c>
      <c r="C37" s="465" t="s">
        <v>158</v>
      </c>
      <c r="D37" s="466"/>
      <c r="E37" s="24">
        <v>7.0000000000000007E-2</v>
      </c>
      <c r="F37" s="2"/>
      <c r="G37" s="2"/>
      <c r="H37" s="2"/>
      <c r="I37" s="2"/>
      <c r="J37" s="2" t="s">
        <v>146</v>
      </c>
      <c r="K37" s="6" t="s">
        <v>454</v>
      </c>
      <c r="L37" s="19">
        <v>6009</v>
      </c>
      <c r="M37" t="s">
        <v>446</v>
      </c>
      <c r="N37">
        <v>60</v>
      </c>
      <c r="O37" s="98">
        <f>N37/N39</f>
        <v>0.125</v>
      </c>
    </row>
    <row r="38" spans="2:15" x14ac:dyDescent="0.25">
      <c r="B38" s="2"/>
      <c r="C38" s="465"/>
      <c r="D38" s="466"/>
      <c r="E38" s="24"/>
      <c r="F38" s="2"/>
      <c r="G38" s="2"/>
      <c r="H38" s="2"/>
      <c r="I38" s="2"/>
      <c r="J38" s="2"/>
      <c r="K38" s="6"/>
      <c r="L38" s="19"/>
      <c r="N38">
        <f>SUM(N29:N37)</f>
        <v>480</v>
      </c>
      <c r="O38" s="8">
        <f>SUM(O29:O37)</f>
        <v>1</v>
      </c>
    </row>
    <row r="39" spans="2:15" x14ac:dyDescent="0.25">
      <c r="B39" s="2"/>
      <c r="C39" s="465"/>
      <c r="D39" s="466"/>
      <c r="E39" s="23">
        <f>SUM(E29:E38)</f>
        <v>0.49500000000000005</v>
      </c>
      <c r="F39" s="2"/>
      <c r="G39" s="2"/>
      <c r="H39" s="2"/>
      <c r="I39" s="2"/>
      <c r="J39" s="2"/>
      <c r="K39" s="2"/>
      <c r="L39" s="2"/>
      <c r="M39" t="s">
        <v>455</v>
      </c>
      <c r="N39">
        <v>480</v>
      </c>
    </row>
    <row r="42" spans="2:15" x14ac:dyDescent="0.25">
      <c r="B42" s="471" t="s">
        <v>428</v>
      </c>
      <c r="C42" s="471"/>
      <c r="D42" s="471"/>
      <c r="E42" s="471"/>
      <c r="F42" s="471"/>
      <c r="G42" s="471"/>
      <c r="H42" s="471"/>
      <c r="I42" s="471"/>
      <c r="J42" s="471"/>
      <c r="K42" s="471"/>
      <c r="L42" s="471"/>
    </row>
    <row r="44" spans="2:15" x14ac:dyDescent="0.25">
      <c r="B44" s="54" t="s">
        <v>429</v>
      </c>
      <c r="C44" s="37" t="s">
        <v>456</v>
      </c>
      <c r="D44" s="37"/>
      <c r="E44" s="37"/>
      <c r="G44" s="54" t="s">
        <v>431</v>
      </c>
      <c r="J44" s="37"/>
      <c r="K44" s="37" t="s">
        <v>386</v>
      </c>
    </row>
    <row r="46" spans="2:15" x14ac:dyDescent="0.25">
      <c r="B46" s="54" t="s">
        <v>217</v>
      </c>
      <c r="C46" s="187" t="s">
        <v>174</v>
      </c>
      <c r="D46" s="37"/>
      <c r="E46" s="37"/>
      <c r="G46" s="54" t="s">
        <v>432</v>
      </c>
      <c r="I46" s="37"/>
      <c r="J46" s="37"/>
      <c r="K46" s="37" t="s">
        <v>433</v>
      </c>
    </row>
    <row r="47" spans="2:15" x14ac:dyDescent="0.25">
      <c r="B47" s="54"/>
    </row>
    <row r="48" spans="2:15" x14ac:dyDescent="0.25">
      <c r="F48" s="472" t="s">
        <v>434</v>
      </c>
      <c r="G48" s="472"/>
      <c r="H48" s="472"/>
      <c r="I48" s="472"/>
      <c r="J48" s="472"/>
      <c r="K48" s="472"/>
      <c r="L48" s="473" t="s">
        <v>435</v>
      </c>
      <c r="M48" s="467" t="s">
        <v>440</v>
      </c>
      <c r="N48" s="468"/>
      <c r="O48" t="s">
        <v>495</v>
      </c>
    </row>
    <row r="49" spans="2:15" x14ac:dyDescent="0.25">
      <c r="B49" s="472" t="s">
        <v>0</v>
      </c>
      <c r="C49" s="472" t="s">
        <v>436</v>
      </c>
      <c r="D49" s="472"/>
      <c r="E49" s="472" t="s">
        <v>437</v>
      </c>
      <c r="F49" s="472" t="s">
        <v>438</v>
      </c>
      <c r="G49" s="472"/>
      <c r="H49" s="472"/>
      <c r="I49" s="472"/>
      <c r="J49" s="472"/>
      <c r="K49" s="53" t="s">
        <v>439</v>
      </c>
      <c r="L49" s="473"/>
    </row>
    <row r="50" spans="2:15" x14ac:dyDescent="0.25">
      <c r="B50" s="472"/>
      <c r="C50" s="472"/>
      <c r="D50" s="472"/>
      <c r="E50" s="472"/>
      <c r="F50" s="185">
        <v>1</v>
      </c>
      <c r="G50" s="5">
        <v>2</v>
      </c>
      <c r="H50" s="5">
        <v>3</v>
      </c>
      <c r="I50" s="5">
        <v>4</v>
      </c>
      <c r="J50" s="5">
        <v>5</v>
      </c>
      <c r="K50" s="85"/>
      <c r="L50" s="473"/>
    </row>
    <row r="51" spans="2:15" x14ac:dyDescent="0.25">
      <c r="B51" s="2">
        <v>6011</v>
      </c>
      <c r="C51" s="469" t="s">
        <v>145</v>
      </c>
      <c r="D51" s="470"/>
      <c r="E51" s="24">
        <v>0.5</v>
      </c>
      <c r="F51" s="2"/>
      <c r="G51" s="2"/>
      <c r="H51" s="2"/>
      <c r="I51" s="2"/>
      <c r="J51" s="2" t="s">
        <v>146</v>
      </c>
      <c r="K51" s="6"/>
      <c r="L51" s="2">
        <v>6011</v>
      </c>
      <c r="M51" t="s">
        <v>443</v>
      </c>
      <c r="N51">
        <v>169</v>
      </c>
      <c r="O51" s="98">
        <f>N51/M53</f>
        <v>0.70416666666666672</v>
      </c>
    </row>
    <row r="52" spans="2:15" x14ac:dyDescent="0.25">
      <c r="B52" s="2">
        <v>6012</v>
      </c>
      <c r="C52" s="469" t="s">
        <v>149</v>
      </c>
      <c r="D52" s="470"/>
      <c r="E52" s="24">
        <v>0.5</v>
      </c>
      <c r="F52" s="2"/>
      <c r="G52" s="2"/>
      <c r="H52" s="2"/>
      <c r="I52" s="2" t="s">
        <v>457</v>
      </c>
      <c r="J52" s="2"/>
      <c r="K52" s="2"/>
      <c r="L52" s="2">
        <v>6012</v>
      </c>
      <c r="M52" t="s">
        <v>443</v>
      </c>
      <c r="N52">
        <v>71</v>
      </c>
      <c r="O52" s="98">
        <f>N52/M53</f>
        <v>0.29583333333333334</v>
      </c>
    </row>
    <row r="53" spans="2:15" x14ac:dyDescent="0.25">
      <c r="M53">
        <v>240</v>
      </c>
      <c r="O53" s="8">
        <f>SUM(O51:O52)</f>
        <v>1</v>
      </c>
    </row>
    <row r="56" spans="2:15" x14ac:dyDescent="0.25">
      <c r="B56" s="471" t="s">
        <v>428</v>
      </c>
      <c r="C56" s="471"/>
      <c r="D56" s="471"/>
      <c r="E56" s="471"/>
      <c r="F56" s="471"/>
      <c r="G56" s="471"/>
      <c r="H56" s="471"/>
      <c r="I56" s="471"/>
      <c r="J56" s="471"/>
      <c r="K56" s="471"/>
      <c r="L56" s="471"/>
    </row>
    <row r="58" spans="2:15" x14ac:dyDescent="0.25">
      <c r="B58" s="54" t="s">
        <v>429</v>
      </c>
      <c r="C58" s="37" t="s">
        <v>458</v>
      </c>
      <c r="D58" s="37"/>
      <c r="E58" s="37"/>
      <c r="G58" s="54" t="s">
        <v>431</v>
      </c>
      <c r="J58" s="37"/>
      <c r="K58" s="37" t="s">
        <v>165</v>
      </c>
    </row>
    <row r="60" spans="2:15" x14ac:dyDescent="0.25">
      <c r="B60" s="54" t="s">
        <v>217</v>
      </c>
      <c r="C60" s="37" t="s">
        <v>498</v>
      </c>
      <c r="D60" s="37"/>
      <c r="E60" s="37"/>
      <c r="G60" s="54" t="s">
        <v>432</v>
      </c>
      <c r="I60" s="37"/>
      <c r="J60" s="37"/>
      <c r="K60" s="37" t="s">
        <v>433</v>
      </c>
    </row>
    <row r="61" spans="2:15" x14ac:dyDescent="0.25">
      <c r="B61" s="54"/>
    </row>
    <row r="62" spans="2:15" x14ac:dyDescent="0.25">
      <c r="F62" s="472" t="s">
        <v>434</v>
      </c>
      <c r="G62" s="472"/>
      <c r="H62" s="472"/>
      <c r="I62" s="472"/>
      <c r="J62" s="472"/>
      <c r="K62" s="472"/>
      <c r="L62" s="473" t="s">
        <v>435</v>
      </c>
    </row>
    <row r="63" spans="2:15" x14ac:dyDescent="0.25">
      <c r="B63" s="472" t="s">
        <v>0</v>
      </c>
      <c r="C63" s="472" t="s">
        <v>436</v>
      </c>
      <c r="D63" s="472"/>
      <c r="E63" s="472" t="s">
        <v>437</v>
      </c>
      <c r="F63" s="472" t="s">
        <v>438</v>
      </c>
      <c r="G63" s="472"/>
      <c r="H63" s="472"/>
      <c r="I63" s="472"/>
      <c r="J63" s="472"/>
      <c r="K63" s="53" t="s">
        <v>439</v>
      </c>
      <c r="L63" s="473"/>
    </row>
    <row r="64" spans="2:15" x14ac:dyDescent="0.25">
      <c r="B64" s="472"/>
      <c r="C64" s="472"/>
      <c r="D64" s="472"/>
      <c r="E64" s="472"/>
      <c r="F64" s="185">
        <v>1</v>
      </c>
      <c r="G64" s="5">
        <v>2</v>
      </c>
      <c r="H64" s="5">
        <v>3</v>
      </c>
      <c r="I64" s="5">
        <v>4</v>
      </c>
      <c r="J64" s="5">
        <v>5</v>
      </c>
      <c r="K64" s="85"/>
      <c r="L64" s="473"/>
    </row>
    <row r="65" spans="2:15" x14ac:dyDescent="0.25">
      <c r="B65" s="1"/>
      <c r="C65" s="53"/>
      <c r="D65" s="87"/>
      <c r="E65" s="1"/>
      <c r="F65" s="185"/>
      <c r="G65" s="5"/>
      <c r="H65" s="5"/>
      <c r="I65" s="5"/>
      <c r="J65" s="5"/>
      <c r="K65" s="85"/>
      <c r="L65" s="5"/>
      <c r="M65" s="467" t="s">
        <v>440</v>
      </c>
      <c r="N65" s="468"/>
      <c r="O65" t="s">
        <v>496</v>
      </c>
    </row>
    <row r="66" spans="2:15" ht="30" x14ac:dyDescent="0.25">
      <c r="B66" s="2">
        <v>6001</v>
      </c>
      <c r="C66" s="465" t="s">
        <v>140</v>
      </c>
      <c r="D66" s="466"/>
      <c r="E66" s="69">
        <v>2.5000000000000001E-2</v>
      </c>
      <c r="F66" s="2" t="s">
        <v>146</v>
      </c>
      <c r="G66" s="2"/>
      <c r="H66" s="2"/>
      <c r="I66" s="2"/>
      <c r="J66" s="2"/>
      <c r="K66" s="6" t="s">
        <v>445</v>
      </c>
      <c r="L66" s="19">
        <v>6001</v>
      </c>
      <c r="M66" t="s">
        <v>446</v>
      </c>
      <c r="N66">
        <v>60</v>
      </c>
      <c r="O66" s="98">
        <f>N66/N75</f>
        <v>0.125</v>
      </c>
    </row>
    <row r="67" spans="2:15" ht="30" x14ac:dyDescent="0.25">
      <c r="B67" s="2">
        <v>6002</v>
      </c>
      <c r="C67" s="465" t="s">
        <v>142</v>
      </c>
      <c r="D67" s="466"/>
      <c r="E67" s="69">
        <v>2.5000000000000001E-2</v>
      </c>
      <c r="F67" s="2"/>
      <c r="G67" s="2" t="s">
        <v>146</v>
      </c>
      <c r="H67" s="2"/>
      <c r="I67" s="2"/>
      <c r="J67" s="2"/>
      <c r="K67" s="6" t="s">
        <v>447</v>
      </c>
      <c r="L67" s="19">
        <v>6002</v>
      </c>
      <c r="M67" t="s">
        <v>189</v>
      </c>
      <c r="N67">
        <v>45</v>
      </c>
      <c r="O67" s="98">
        <f t="shared" ref="O67" si="0">N67/N76</f>
        <v>9.375E-2</v>
      </c>
    </row>
    <row r="68" spans="2:15" x14ac:dyDescent="0.25">
      <c r="B68" s="2">
        <v>6003</v>
      </c>
      <c r="C68" s="465" t="s">
        <v>144</v>
      </c>
      <c r="D68" s="466"/>
      <c r="E68" s="24">
        <v>0.05</v>
      </c>
      <c r="F68" s="2"/>
      <c r="G68" s="2"/>
      <c r="H68" s="2" t="s">
        <v>146</v>
      </c>
      <c r="I68" s="2"/>
      <c r="J68" s="2"/>
      <c r="K68" s="24" t="s">
        <v>448</v>
      </c>
      <c r="L68" s="19">
        <v>6003</v>
      </c>
      <c r="M68" t="s">
        <v>446</v>
      </c>
      <c r="N68">
        <v>60</v>
      </c>
      <c r="O68" s="98">
        <f>N68/N75</f>
        <v>0.125</v>
      </c>
    </row>
    <row r="69" spans="2:15" x14ac:dyDescent="0.25">
      <c r="B69" s="2">
        <v>6004</v>
      </c>
      <c r="C69" s="465" t="s">
        <v>147</v>
      </c>
      <c r="D69" s="466"/>
      <c r="E69" s="24">
        <v>0.05</v>
      </c>
      <c r="F69" s="2"/>
      <c r="G69" s="2"/>
      <c r="H69" s="2"/>
      <c r="I69" s="2" t="s">
        <v>146</v>
      </c>
      <c r="J69" s="2"/>
      <c r="K69" s="19" t="s">
        <v>449</v>
      </c>
      <c r="L69" s="19">
        <v>6004</v>
      </c>
      <c r="M69" t="s">
        <v>189</v>
      </c>
      <c r="N69">
        <v>45</v>
      </c>
      <c r="O69" s="98">
        <f>N69/N75</f>
        <v>9.375E-2</v>
      </c>
    </row>
    <row r="70" spans="2:15" x14ac:dyDescent="0.25">
      <c r="B70" s="2">
        <v>6005</v>
      </c>
      <c r="C70" s="465" t="s">
        <v>150</v>
      </c>
      <c r="D70" s="466"/>
      <c r="E70" s="24">
        <v>0.05</v>
      </c>
      <c r="F70" s="2"/>
      <c r="G70" s="2"/>
      <c r="H70" s="2" t="s">
        <v>146</v>
      </c>
      <c r="I70" s="2"/>
      <c r="J70" s="2"/>
      <c r="K70" s="2" t="s">
        <v>450</v>
      </c>
      <c r="L70" s="19">
        <v>6005</v>
      </c>
      <c r="M70" t="s">
        <v>446</v>
      </c>
      <c r="N70">
        <v>60</v>
      </c>
      <c r="O70" s="98">
        <f>N70/N75</f>
        <v>0.125</v>
      </c>
    </row>
    <row r="71" spans="2:15" x14ac:dyDescent="0.25">
      <c r="B71" s="2">
        <v>6006</v>
      </c>
      <c r="C71" s="465" t="s">
        <v>153</v>
      </c>
      <c r="D71" s="466"/>
      <c r="E71" s="24">
        <v>0.05</v>
      </c>
      <c r="F71" s="2"/>
      <c r="G71" s="2"/>
      <c r="H71" s="2"/>
      <c r="I71" s="2" t="s">
        <v>146</v>
      </c>
      <c r="J71" s="2"/>
      <c r="K71" s="2" t="s">
        <v>451</v>
      </c>
      <c r="L71" s="19">
        <v>6006</v>
      </c>
      <c r="M71" t="s">
        <v>196</v>
      </c>
      <c r="N71">
        <v>40</v>
      </c>
      <c r="O71" s="98">
        <f>N71/N75</f>
        <v>8.3333333333333329E-2</v>
      </c>
    </row>
    <row r="72" spans="2:15" ht="30" x14ac:dyDescent="0.25">
      <c r="B72" s="2">
        <v>6007</v>
      </c>
      <c r="C72" s="465" t="s">
        <v>155</v>
      </c>
      <c r="D72" s="466"/>
      <c r="E72" s="69">
        <v>7.4999999999999997E-2</v>
      </c>
      <c r="F72" s="2"/>
      <c r="G72" s="2"/>
      <c r="H72" s="2"/>
      <c r="I72" s="2" t="s">
        <v>146</v>
      </c>
      <c r="J72" s="2"/>
      <c r="K72" s="6" t="s">
        <v>452</v>
      </c>
      <c r="L72" s="19">
        <v>6007</v>
      </c>
      <c r="M72" t="s">
        <v>446</v>
      </c>
      <c r="N72">
        <v>60</v>
      </c>
      <c r="O72" s="98">
        <f>N72/N75</f>
        <v>0.125</v>
      </c>
    </row>
    <row r="73" spans="2:15" ht="30" x14ac:dyDescent="0.25">
      <c r="B73" s="2">
        <v>6008</v>
      </c>
      <c r="C73" s="465" t="s">
        <v>156</v>
      </c>
      <c r="D73" s="466"/>
      <c r="E73" s="24">
        <v>0.1</v>
      </c>
      <c r="F73" s="2"/>
      <c r="G73" s="2"/>
      <c r="H73" s="2"/>
      <c r="I73" s="2"/>
      <c r="J73" s="2" t="s">
        <v>146</v>
      </c>
      <c r="K73" s="6" t="s">
        <v>453</v>
      </c>
      <c r="L73" s="19">
        <v>6008</v>
      </c>
      <c r="M73" t="s">
        <v>195</v>
      </c>
      <c r="N73">
        <v>50</v>
      </c>
      <c r="O73" s="98">
        <f>N73/N75</f>
        <v>0.10416666666666667</v>
      </c>
    </row>
    <row r="74" spans="2:15" ht="30" x14ac:dyDescent="0.25">
      <c r="B74" s="2">
        <v>6009</v>
      </c>
      <c r="C74" s="465" t="s">
        <v>158</v>
      </c>
      <c r="D74" s="466"/>
      <c r="E74" s="24">
        <v>7.0000000000000007E-2</v>
      </c>
      <c r="F74" s="2"/>
      <c r="G74" s="2"/>
      <c r="H74" s="2"/>
      <c r="I74" s="2"/>
      <c r="J74" s="2" t="s">
        <v>146</v>
      </c>
      <c r="K74" s="6" t="s">
        <v>454</v>
      </c>
      <c r="L74" s="19">
        <v>6009</v>
      </c>
      <c r="M74" t="s">
        <v>446</v>
      </c>
      <c r="N74">
        <v>60</v>
      </c>
      <c r="O74" s="98">
        <f>N74/N75</f>
        <v>0.125</v>
      </c>
    </row>
    <row r="75" spans="2:15" x14ac:dyDescent="0.25">
      <c r="B75" s="2"/>
      <c r="C75" s="465"/>
      <c r="D75" s="466"/>
      <c r="E75" s="24"/>
      <c r="F75" s="2"/>
      <c r="G75" s="2"/>
      <c r="H75" s="2"/>
      <c r="I75" s="2"/>
      <c r="J75" s="2"/>
      <c r="K75" s="6"/>
      <c r="L75" s="19"/>
      <c r="N75">
        <f>SUM(N66:N74)</f>
        <v>480</v>
      </c>
      <c r="O75" s="8">
        <f>SUM(O66:O74)</f>
        <v>1</v>
      </c>
    </row>
    <row r="76" spans="2:15" x14ac:dyDescent="0.25">
      <c r="B76" s="2"/>
      <c r="C76" s="465"/>
      <c r="D76" s="466"/>
      <c r="E76" s="23">
        <f>SUM(E66:E75)</f>
        <v>0.49500000000000005</v>
      </c>
      <c r="F76" s="2"/>
      <c r="G76" s="2"/>
      <c r="H76" s="2"/>
      <c r="I76" s="2"/>
      <c r="J76" s="2"/>
      <c r="K76" s="2"/>
      <c r="L76" s="2"/>
      <c r="M76" t="s">
        <v>455</v>
      </c>
      <c r="N76">
        <v>480</v>
      </c>
    </row>
  </sheetData>
  <mergeCells count="60">
    <mergeCell ref="B19:L19"/>
    <mergeCell ref="B4:L4"/>
    <mergeCell ref="F10:K10"/>
    <mergeCell ref="L10:L12"/>
    <mergeCell ref="B11:B12"/>
    <mergeCell ref="C11:D12"/>
    <mergeCell ref="E11:E12"/>
    <mergeCell ref="F11:J11"/>
    <mergeCell ref="M11:N11"/>
    <mergeCell ref="C13:D13"/>
    <mergeCell ref="C14:D14"/>
    <mergeCell ref="C15:D15"/>
    <mergeCell ref="C16:D16"/>
    <mergeCell ref="F25:K25"/>
    <mergeCell ref="L25:L27"/>
    <mergeCell ref="B26:B27"/>
    <mergeCell ref="C26:D27"/>
    <mergeCell ref="E26:E27"/>
    <mergeCell ref="F26:J26"/>
    <mergeCell ref="C39:D39"/>
    <mergeCell ref="M28:N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B42:L42"/>
    <mergeCell ref="F48:K48"/>
    <mergeCell ref="L48:L50"/>
    <mergeCell ref="M48:N48"/>
    <mergeCell ref="B49:B50"/>
    <mergeCell ref="C49:D50"/>
    <mergeCell ref="E49:E50"/>
    <mergeCell ref="F49:J49"/>
    <mergeCell ref="C51:D51"/>
    <mergeCell ref="C52:D52"/>
    <mergeCell ref="B56:L56"/>
    <mergeCell ref="F62:K62"/>
    <mergeCell ref="L62:L64"/>
    <mergeCell ref="B63:B64"/>
    <mergeCell ref="C63:D64"/>
    <mergeCell ref="E63:E64"/>
    <mergeCell ref="F63:J63"/>
    <mergeCell ref="C76:D76"/>
    <mergeCell ref="M65:N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7AD36-ED62-4D8E-8239-50F2B148543A}">
  <dimension ref="A5:Y333"/>
  <sheetViews>
    <sheetView topLeftCell="A25" zoomScale="80" zoomScaleNormal="80" workbookViewId="0">
      <selection activeCell="K318" sqref="K318"/>
    </sheetView>
  </sheetViews>
  <sheetFormatPr baseColWidth="10" defaultRowHeight="15" x14ac:dyDescent="0.25"/>
  <cols>
    <col min="1" max="1" width="18.140625" customWidth="1"/>
    <col min="2" max="2" width="13.28515625" customWidth="1"/>
    <col min="3" max="3" width="14" customWidth="1"/>
    <col min="4" max="4" width="27" customWidth="1"/>
    <col min="5" max="5" width="16.5703125" customWidth="1"/>
    <col min="6" max="6" width="14.28515625" customWidth="1"/>
    <col min="7" max="7" width="18.140625" customWidth="1"/>
    <col min="8" max="8" width="18.28515625" customWidth="1"/>
    <col min="9" max="9" width="14.42578125" customWidth="1"/>
    <col min="10" max="10" width="12.28515625" customWidth="1"/>
    <col min="11" max="11" width="11.7109375" customWidth="1"/>
    <col min="12" max="12" width="16.28515625" customWidth="1"/>
    <col min="13" max="13" width="14.7109375" customWidth="1"/>
    <col min="14" max="14" width="16" customWidth="1"/>
    <col min="15" max="15" width="20.140625" customWidth="1"/>
    <col min="16" max="16" width="24.7109375" customWidth="1"/>
    <col min="17" max="17" width="20.85546875" customWidth="1"/>
    <col min="18" max="18" width="20.28515625" customWidth="1"/>
    <col min="21" max="22" width="18" customWidth="1"/>
    <col min="24" max="24" width="24.28515625" customWidth="1"/>
  </cols>
  <sheetData>
    <row r="5" spans="4:20" x14ac:dyDescent="0.25">
      <c r="E5" s="1" t="s">
        <v>0</v>
      </c>
      <c r="F5" s="1" t="s">
        <v>1</v>
      </c>
      <c r="G5" s="1" t="s">
        <v>2</v>
      </c>
    </row>
    <row r="6" spans="4:20" ht="83.45" customHeight="1" x14ac:dyDescent="0.25">
      <c r="E6" s="2" t="s">
        <v>3</v>
      </c>
      <c r="F6" s="2" t="s">
        <v>4</v>
      </c>
      <c r="G6" s="3" t="s">
        <v>5</v>
      </c>
    </row>
    <row r="7" spans="4:20" ht="60" x14ac:dyDescent="0.25">
      <c r="E7" s="2" t="s">
        <v>6</v>
      </c>
      <c r="F7" s="2" t="s">
        <v>7</v>
      </c>
      <c r="G7" s="3" t="s">
        <v>8</v>
      </c>
    </row>
    <row r="8" spans="4:20" ht="90" x14ac:dyDescent="0.25">
      <c r="E8" s="2" t="s">
        <v>9</v>
      </c>
      <c r="F8" s="2" t="s">
        <v>10</v>
      </c>
      <c r="G8" s="3" t="s">
        <v>11</v>
      </c>
    </row>
    <row r="11" spans="4:20" x14ac:dyDescent="0.25">
      <c r="D11" s="4" t="s">
        <v>12</v>
      </c>
      <c r="E11" s="5" t="s">
        <v>2</v>
      </c>
      <c r="F11" s="5" t="s">
        <v>13</v>
      </c>
      <c r="G11" s="5" t="s">
        <v>14</v>
      </c>
    </row>
    <row r="12" spans="4:20" ht="64.900000000000006" customHeight="1" x14ac:dyDescent="0.25">
      <c r="D12" s="2" t="s">
        <v>15</v>
      </c>
      <c r="E12" s="6" t="s">
        <v>16</v>
      </c>
      <c r="F12" s="7">
        <f>'COSTOS DE PRODUCCIÓN'!E15</f>
        <v>1600000</v>
      </c>
      <c r="G12" s="6" t="s">
        <v>17</v>
      </c>
    </row>
    <row r="13" spans="4:20" ht="73.900000000000006" customHeight="1" x14ac:dyDescent="0.25">
      <c r="D13" s="6" t="s">
        <v>18</v>
      </c>
      <c r="E13" s="6" t="s">
        <v>19</v>
      </c>
      <c r="F13" s="7">
        <f>'MAQUINARIA '!F6</f>
        <v>2000000</v>
      </c>
      <c r="G13" s="6" t="s">
        <v>17</v>
      </c>
    </row>
    <row r="14" spans="4:20" ht="60" x14ac:dyDescent="0.25">
      <c r="D14" s="6" t="s">
        <v>20</v>
      </c>
      <c r="E14" s="6" t="s">
        <v>21</v>
      </c>
      <c r="F14" s="7">
        <f>'MAQUINARIA '!F7</f>
        <v>1500000</v>
      </c>
      <c r="G14" s="6" t="s">
        <v>22</v>
      </c>
      <c r="M14" s="44" t="s">
        <v>464</v>
      </c>
      <c r="N14" s="1" t="s">
        <v>65</v>
      </c>
      <c r="O14" s="1" t="s">
        <v>66</v>
      </c>
    </row>
    <row r="15" spans="4:20" ht="90" x14ac:dyDescent="0.25">
      <c r="D15" s="6" t="s">
        <v>23</v>
      </c>
      <c r="E15" s="6" t="s">
        <v>24</v>
      </c>
      <c r="F15" s="7">
        <v>2700000</v>
      </c>
      <c r="G15" s="6" t="s">
        <v>22</v>
      </c>
      <c r="K15" s="8">
        <v>0.27</v>
      </c>
      <c r="M15" s="2" t="s">
        <v>4</v>
      </c>
      <c r="N15" s="14">
        <v>3150000</v>
      </c>
      <c r="O15" s="23">
        <f>N15/N18</f>
        <v>0.28378378378378377</v>
      </c>
      <c r="T15" s="8">
        <v>0.14000000000000001</v>
      </c>
    </row>
    <row r="16" spans="4:20" ht="60" x14ac:dyDescent="0.25">
      <c r="D16" s="6" t="s">
        <v>25</v>
      </c>
      <c r="E16" s="6" t="s">
        <v>26</v>
      </c>
      <c r="F16" s="7">
        <v>500000</v>
      </c>
      <c r="G16" s="6" t="s">
        <v>22</v>
      </c>
      <c r="M16" s="2" t="s">
        <v>165</v>
      </c>
      <c r="N16" s="14">
        <v>6550000</v>
      </c>
      <c r="O16" s="24">
        <f>N16/N18</f>
        <v>0.59009009009009006</v>
      </c>
    </row>
    <row r="17" spans="4:15" ht="90" x14ac:dyDescent="0.25">
      <c r="D17" s="6" t="s">
        <v>10</v>
      </c>
      <c r="E17" s="6" t="s">
        <v>27</v>
      </c>
      <c r="F17" s="7">
        <v>800000</v>
      </c>
      <c r="G17" s="6" t="s">
        <v>22</v>
      </c>
      <c r="J17" s="9"/>
      <c r="M17" s="2" t="s">
        <v>10</v>
      </c>
      <c r="N17" s="14">
        <v>1400000</v>
      </c>
      <c r="O17" s="24">
        <f>N17/N18</f>
        <v>0.12612612612612611</v>
      </c>
    </row>
    <row r="18" spans="4:15" x14ac:dyDescent="0.25">
      <c r="D18" s="4" t="s">
        <v>28</v>
      </c>
      <c r="E18" s="5"/>
      <c r="F18" s="10">
        <f>SUM(F12:F17)</f>
        <v>9100000</v>
      </c>
      <c r="G18" s="2"/>
      <c r="I18" s="11"/>
      <c r="J18" s="11"/>
      <c r="M18" s="2" t="s">
        <v>35</v>
      </c>
      <c r="N18" s="15">
        <f>SUM(N15:N17)</f>
        <v>11100000</v>
      </c>
      <c r="O18" s="23">
        <f>SUM(O15:O17)</f>
        <v>1</v>
      </c>
    </row>
    <row r="19" spans="4:15" x14ac:dyDescent="0.25">
      <c r="I19" s="12"/>
    </row>
    <row r="20" spans="4:15" x14ac:dyDescent="0.25">
      <c r="D20" s="468" t="s">
        <v>29</v>
      </c>
      <c r="E20" s="468"/>
      <c r="F20" s="468"/>
      <c r="G20" s="468"/>
      <c r="J20" s="9"/>
    </row>
    <row r="21" spans="4:15" ht="15.75" thickBot="1" x14ac:dyDescent="0.3">
      <c r="D21" s="468" t="s">
        <v>30</v>
      </c>
      <c r="E21" s="468"/>
      <c r="F21" s="468"/>
      <c r="G21" s="468"/>
    </row>
    <row r="22" spans="4:15" ht="30.75" thickBot="1" x14ac:dyDescent="0.3">
      <c r="D22" s="219" t="s">
        <v>31</v>
      </c>
      <c r="E22" s="220" t="s">
        <v>32</v>
      </c>
      <c r="F22" s="221" t="s">
        <v>33</v>
      </c>
      <c r="G22" s="222" t="s">
        <v>34</v>
      </c>
      <c r="H22" s="225" t="s">
        <v>35</v>
      </c>
    </row>
    <row r="23" spans="4:15" ht="15.75" thickBot="1" x14ac:dyDescent="0.3">
      <c r="D23" s="229" t="s">
        <v>37</v>
      </c>
      <c r="E23" s="229" t="s">
        <v>38</v>
      </c>
      <c r="F23" s="223"/>
      <c r="G23" s="224">
        <v>135674</v>
      </c>
      <c r="H23" s="226">
        <f>G23*1</f>
        <v>135674</v>
      </c>
      <c r="I23" s="12">
        <f>H25*46%</f>
        <v>614410.04</v>
      </c>
      <c r="J23" s="12">
        <f>J26*46%</f>
        <v>1656000</v>
      </c>
    </row>
    <row r="24" spans="4:15" ht="15.75" thickBot="1" x14ac:dyDescent="0.3">
      <c r="D24" s="229" t="s">
        <v>39</v>
      </c>
      <c r="E24" s="230" t="s">
        <v>40</v>
      </c>
      <c r="F24" s="227">
        <v>2</v>
      </c>
      <c r="G24" s="228">
        <v>600000</v>
      </c>
      <c r="H24" s="226">
        <f>G24*F24</f>
        <v>1200000</v>
      </c>
      <c r="I24" s="12">
        <f>H25*27%</f>
        <v>360631.98000000004</v>
      </c>
      <c r="J24" s="12">
        <f>J26*27%</f>
        <v>972000.00000000012</v>
      </c>
    </row>
    <row r="25" spans="4:15" ht="15.75" thickBot="1" x14ac:dyDescent="0.3">
      <c r="G25" s="231" t="s">
        <v>41</v>
      </c>
      <c r="H25" s="232">
        <f>H23+H24</f>
        <v>1335674</v>
      </c>
      <c r="I25" s="12">
        <f>H25*16%</f>
        <v>213707.84</v>
      </c>
      <c r="J25" s="12">
        <f>J26*16%</f>
        <v>576000</v>
      </c>
    </row>
    <row r="26" spans="4:15" x14ac:dyDescent="0.25">
      <c r="I26" s="12">
        <f>H25*11%</f>
        <v>146924.14000000001</v>
      </c>
      <c r="J26" s="11">
        <v>3600000</v>
      </c>
    </row>
    <row r="27" spans="4:15" x14ac:dyDescent="0.25">
      <c r="D27" s="468" t="s">
        <v>42</v>
      </c>
      <c r="E27" s="468"/>
      <c r="F27" s="468"/>
      <c r="H27" s="12"/>
    </row>
    <row r="29" spans="4:15" x14ac:dyDescent="0.25">
      <c r="D29" s="1" t="s">
        <v>0</v>
      </c>
      <c r="E29" s="1" t="s">
        <v>1</v>
      </c>
      <c r="F29" s="1" t="s">
        <v>2</v>
      </c>
    </row>
    <row r="30" spans="4:15" x14ac:dyDescent="0.25">
      <c r="D30" s="2" t="s">
        <v>43</v>
      </c>
      <c r="E30" s="2" t="s">
        <v>44</v>
      </c>
      <c r="F30" s="2" t="s">
        <v>45</v>
      </c>
    </row>
    <row r="31" spans="4:15" x14ac:dyDescent="0.25">
      <c r="D31" s="2" t="s">
        <v>46</v>
      </c>
      <c r="E31" s="2" t="s">
        <v>47</v>
      </c>
      <c r="F31" s="2" t="s">
        <v>48</v>
      </c>
    </row>
    <row r="32" spans="4:15" x14ac:dyDescent="0.25">
      <c r="D32" s="2" t="s">
        <v>49</v>
      </c>
      <c r="E32" s="2" t="s">
        <v>50</v>
      </c>
      <c r="F32" s="2" t="s">
        <v>51</v>
      </c>
    </row>
    <row r="33" spans="4:6" x14ac:dyDescent="0.25">
      <c r="D33" s="2" t="s">
        <v>52</v>
      </c>
      <c r="E33" s="2" t="s">
        <v>53</v>
      </c>
      <c r="F33" s="2" t="s">
        <v>54</v>
      </c>
    </row>
    <row r="64" spans="15:16" x14ac:dyDescent="0.25">
      <c r="O64" s="471"/>
      <c r="P64" s="471"/>
    </row>
    <row r="65" spans="4:17" x14ac:dyDescent="0.25">
      <c r="O65" s="471"/>
      <c r="P65" s="471"/>
    </row>
    <row r="66" spans="4:17" x14ac:dyDescent="0.25">
      <c r="O66" s="471"/>
      <c r="P66" s="471"/>
    </row>
    <row r="67" spans="4:17" x14ac:dyDescent="0.25">
      <c r="O67" s="471"/>
      <c r="P67" s="471"/>
    </row>
    <row r="68" spans="4:17" x14ac:dyDescent="0.25">
      <c r="O68" s="471"/>
      <c r="P68" s="471"/>
    </row>
    <row r="69" spans="4:17" x14ac:dyDescent="0.25">
      <c r="O69" s="471"/>
      <c r="P69" s="471"/>
    </row>
    <row r="70" spans="4:17" x14ac:dyDescent="0.25">
      <c r="O70" s="471"/>
      <c r="P70" s="471"/>
    </row>
    <row r="71" spans="4:17" ht="14.45" customHeight="1" x14ac:dyDescent="0.25">
      <c r="D71" s="476" t="s">
        <v>55</v>
      </c>
      <c r="E71" s="476"/>
      <c r="F71" s="476"/>
      <c r="G71" s="476"/>
      <c r="H71" s="476"/>
      <c r="I71" s="476"/>
      <c r="J71" s="476"/>
      <c r="K71" s="476"/>
      <c r="O71" s="471"/>
      <c r="P71" s="471"/>
    </row>
    <row r="72" spans="4:17" x14ac:dyDescent="0.25">
      <c r="D72" s="481" t="s">
        <v>56</v>
      </c>
      <c r="E72" s="481"/>
      <c r="F72" s="481"/>
      <c r="O72" s="471"/>
      <c r="P72" s="471"/>
    </row>
    <row r="73" spans="4:17" ht="53.45" customHeight="1" x14ac:dyDescent="0.25">
      <c r="D73" s="17" t="s">
        <v>57</v>
      </c>
      <c r="E73" s="482" t="s">
        <v>58</v>
      </c>
      <c r="F73" s="482"/>
      <c r="G73" s="483" t="s">
        <v>59</v>
      </c>
      <c r="H73" s="483"/>
      <c r="I73" s="483" t="s">
        <v>60</v>
      </c>
      <c r="J73" s="483"/>
      <c r="K73" s="18" t="s">
        <v>61</v>
      </c>
      <c r="L73" s="18" t="s">
        <v>62</v>
      </c>
      <c r="M73" s="18"/>
      <c r="N73" s="18" t="s">
        <v>63</v>
      </c>
      <c r="O73" s="18"/>
      <c r="P73" s="18" t="s">
        <v>35</v>
      </c>
    </row>
    <row r="74" spans="4:17" x14ac:dyDescent="0.25">
      <c r="D74" s="2" t="s">
        <v>64</v>
      </c>
      <c r="E74" s="19" t="s">
        <v>65</v>
      </c>
      <c r="F74" s="19" t="s">
        <v>66</v>
      </c>
      <c r="G74" s="19" t="s">
        <v>65</v>
      </c>
      <c r="H74" s="19" t="s">
        <v>66</v>
      </c>
      <c r="I74" s="19" t="s">
        <v>65</v>
      </c>
      <c r="J74" s="19" t="s">
        <v>66</v>
      </c>
      <c r="K74" s="19" t="s">
        <v>65</v>
      </c>
      <c r="L74" s="19" t="s">
        <v>65</v>
      </c>
      <c r="M74" s="19" t="s">
        <v>66</v>
      </c>
      <c r="N74" s="19" t="s">
        <v>65</v>
      </c>
      <c r="O74" s="19" t="s">
        <v>66</v>
      </c>
      <c r="P74" s="2"/>
    </row>
    <row r="75" spans="4:17" x14ac:dyDescent="0.25">
      <c r="D75" s="20" t="s">
        <v>57</v>
      </c>
      <c r="E75" s="21" t="s">
        <v>67</v>
      </c>
      <c r="F75" s="21"/>
      <c r="G75" s="21" t="s">
        <v>67</v>
      </c>
      <c r="H75" s="21"/>
      <c r="I75" s="21" t="s">
        <v>67</v>
      </c>
      <c r="J75" s="21"/>
      <c r="K75" s="21" t="s">
        <v>67</v>
      </c>
      <c r="L75" s="21" t="s">
        <v>68</v>
      </c>
      <c r="M75" s="21"/>
      <c r="N75" s="21" t="s">
        <v>67</v>
      </c>
      <c r="O75" s="21"/>
      <c r="P75" s="21"/>
    </row>
    <row r="76" spans="4:17" x14ac:dyDescent="0.25">
      <c r="D76" s="20" t="s">
        <v>69</v>
      </c>
      <c r="E76" s="22">
        <v>3600000</v>
      </c>
      <c r="F76" s="21"/>
      <c r="G76" s="22">
        <f>G80</f>
        <v>1500000</v>
      </c>
      <c r="H76" s="21"/>
      <c r="I76" s="22">
        <f>I80</f>
        <v>2700000</v>
      </c>
      <c r="J76" s="21"/>
      <c r="K76" s="22">
        <f>K80</f>
        <v>2000000</v>
      </c>
      <c r="L76" s="22">
        <f>L80</f>
        <v>500000</v>
      </c>
      <c r="M76" s="21"/>
      <c r="N76" s="22">
        <f>N80</f>
        <v>800000</v>
      </c>
      <c r="O76" s="21"/>
      <c r="P76" s="22">
        <f>SUM(E76:N76)</f>
        <v>11100000</v>
      </c>
      <c r="Q76" s="22" t="s">
        <v>70</v>
      </c>
    </row>
    <row r="77" spans="4:17" ht="12" customHeight="1" x14ac:dyDescent="0.25">
      <c r="D77" s="2" t="s">
        <v>71</v>
      </c>
      <c r="E77" s="14">
        <f>'GASTO ADMINISTRATIVO'!K21</f>
        <v>1500000</v>
      </c>
      <c r="F77" s="23">
        <f>E77/E76</f>
        <v>0.41666666666666669</v>
      </c>
      <c r="G77" s="14">
        <v>1500000</v>
      </c>
      <c r="H77" s="24">
        <v>1</v>
      </c>
      <c r="I77" s="14">
        <v>0</v>
      </c>
      <c r="J77" s="24">
        <f>I77/I80</f>
        <v>0</v>
      </c>
      <c r="K77" s="14">
        <v>0</v>
      </c>
      <c r="L77" s="14">
        <v>150000</v>
      </c>
      <c r="M77" s="24">
        <v>0.2</v>
      </c>
      <c r="N77" s="14"/>
      <c r="O77" s="24"/>
      <c r="P77" s="15">
        <f>+E77+G77+L77</f>
        <v>3150000</v>
      </c>
    </row>
    <row r="78" spans="4:17" x14ac:dyDescent="0.25">
      <c r="D78" s="2" t="s">
        <v>72</v>
      </c>
      <c r="E78" s="14">
        <v>1600000</v>
      </c>
      <c r="F78" s="24">
        <f>E78/E76</f>
        <v>0.44444444444444442</v>
      </c>
      <c r="G78" s="2"/>
      <c r="H78" s="2"/>
      <c r="I78" s="14">
        <v>2700000</v>
      </c>
      <c r="J78" s="24">
        <f>I78/I80</f>
        <v>1</v>
      </c>
      <c r="K78" s="14">
        <v>2000000</v>
      </c>
      <c r="L78" s="14">
        <v>250000</v>
      </c>
      <c r="M78" s="24">
        <v>0.7</v>
      </c>
      <c r="N78" s="14"/>
      <c r="O78" s="24"/>
      <c r="P78" s="15">
        <f>E78+I78+K78+L78</f>
        <v>6550000</v>
      </c>
    </row>
    <row r="79" spans="4:17" x14ac:dyDescent="0.25">
      <c r="D79" s="2" t="s">
        <v>73</v>
      </c>
      <c r="E79" s="14">
        <v>500000</v>
      </c>
      <c r="F79" s="24">
        <f>E79/E76</f>
        <v>0.1388888888888889</v>
      </c>
      <c r="G79" s="14"/>
      <c r="H79" s="24"/>
      <c r="I79" s="14">
        <v>0</v>
      </c>
      <c r="J79" s="24">
        <f>I79/I80</f>
        <v>0</v>
      </c>
      <c r="K79" s="14">
        <v>0</v>
      </c>
      <c r="L79" s="14">
        <v>100000</v>
      </c>
      <c r="M79" s="24">
        <v>0.1</v>
      </c>
      <c r="N79" s="14">
        <v>800000</v>
      </c>
      <c r="O79" s="24">
        <v>1</v>
      </c>
      <c r="P79" s="15">
        <f>E79+L79+N79</f>
        <v>1400000</v>
      </c>
    </row>
    <row r="80" spans="4:17" x14ac:dyDescent="0.25">
      <c r="D80" s="5" t="s">
        <v>74</v>
      </c>
      <c r="E80" s="25">
        <f>SUM(E77:E79)</f>
        <v>3600000</v>
      </c>
      <c r="F80" s="26">
        <f>SUM(F77:F79)</f>
        <v>1</v>
      </c>
      <c r="G80" s="25">
        <f>G77</f>
        <v>1500000</v>
      </c>
      <c r="H80" s="27">
        <f>H77</f>
        <v>1</v>
      </c>
      <c r="I80" s="28">
        <f>SUM(I77:I79)</f>
        <v>2700000</v>
      </c>
      <c r="J80" s="26">
        <f>SUM(J77:J79)</f>
        <v>1</v>
      </c>
      <c r="K80" s="28">
        <f>SUM(K77:K79)</f>
        <v>2000000</v>
      </c>
      <c r="L80" s="25">
        <f>L79+L78+L77</f>
        <v>500000</v>
      </c>
      <c r="M80" s="26">
        <f>SUM(M77:M79)</f>
        <v>0.99999999999999989</v>
      </c>
      <c r="N80" s="25">
        <f>N79+N78+N77</f>
        <v>800000</v>
      </c>
      <c r="O80" s="26">
        <f>SUM(O77:O79)</f>
        <v>1</v>
      </c>
      <c r="P80" s="15">
        <f>SUM(P77:P79)</f>
        <v>11100000</v>
      </c>
    </row>
    <row r="81" spans="4:17" x14ac:dyDescent="0.25">
      <c r="G81" s="28"/>
      <c r="H81" s="26"/>
    </row>
    <row r="83" spans="4:17" x14ac:dyDescent="0.25">
      <c r="D83" s="29" t="s">
        <v>75</v>
      </c>
      <c r="E83" s="30" t="s">
        <v>44</v>
      </c>
      <c r="F83" s="30" t="s">
        <v>76</v>
      </c>
      <c r="G83" s="30" t="s">
        <v>77</v>
      </c>
      <c r="H83" s="30" t="s">
        <v>53</v>
      </c>
      <c r="I83" s="30" t="s">
        <v>35</v>
      </c>
    </row>
    <row r="84" spans="4:17" x14ac:dyDescent="0.25">
      <c r="D84" s="2" t="s">
        <v>78</v>
      </c>
      <c r="E84" s="14">
        <v>1024555</v>
      </c>
      <c r="F84" s="14">
        <v>613328</v>
      </c>
      <c r="G84" s="14">
        <v>257632</v>
      </c>
      <c r="H84" s="14">
        <v>804485</v>
      </c>
      <c r="I84" s="14">
        <f>E84+F84+G84+H84</f>
        <v>2700000</v>
      </c>
      <c r="J84" s="12"/>
    </row>
    <row r="86" spans="4:17" x14ac:dyDescent="0.25">
      <c r="D86" s="468" t="s">
        <v>79</v>
      </c>
      <c r="E86" s="468"/>
      <c r="F86" s="468"/>
      <c r="G86" s="468"/>
      <c r="H86" s="468"/>
      <c r="I86" s="468"/>
      <c r="J86" s="468"/>
    </row>
    <row r="87" spans="4:17" x14ac:dyDescent="0.25">
      <c r="D87" s="31"/>
      <c r="E87" s="31"/>
      <c r="F87" s="31"/>
      <c r="G87" s="31"/>
      <c r="H87" s="31"/>
      <c r="I87" s="31"/>
      <c r="J87" s="31"/>
    </row>
    <row r="88" spans="4:17" ht="40.15" customHeight="1" x14ac:dyDescent="0.25">
      <c r="D88" s="32"/>
      <c r="E88" s="33" t="s">
        <v>44</v>
      </c>
      <c r="F88" s="33" t="s">
        <v>47</v>
      </c>
      <c r="G88" s="33" t="s">
        <v>80</v>
      </c>
      <c r="H88" s="33" t="s">
        <v>53</v>
      </c>
      <c r="I88" s="33" t="s">
        <v>81</v>
      </c>
      <c r="J88" s="33" t="s">
        <v>82</v>
      </c>
    </row>
    <row r="89" spans="4:17" x14ac:dyDescent="0.25">
      <c r="D89" s="34" t="s">
        <v>83</v>
      </c>
      <c r="E89" s="2" t="s">
        <v>84</v>
      </c>
      <c r="F89" s="2" t="s">
        <v>85</v>
      </c>
      <c r="G89" s="2" t="s">
        <v>85</v>
      </c>
      <c r="H89" s="2"/>
      <c r="I89" s="14">
        <v>120000</v>
      </c>
      <c r="J89" s="2" t="s">
        <v>86</v>
      </c>
    </row>
    <row r="90" spans="4:17" x14ac:dyDescent="0.25">
      <c r="D90" s="34" t="s">
        <v>87</v>
      </c>
      <c r="E90" s="2" t="s">
        <v>88</v>
      </c>
      <c r="F90" s="2">
        <v>0</v>
      </c>
      <c r="G90" s="2">
        <v>0</v>
      </c>
      <c r="H90" s="2" t="s">
        <v>89</v>
      </c>
      <c r="I90" s="14">
        <f>4600*11</f>
        <v>50600</v>
      </c>
      <c r="J90" s="2" t="s">
        <v>90</v>
      </c>
      <c r="Q90" s="11"/>
    </row>
    <row r="91" spans="4:17" x14ac:dyDescent="0.25">
      <c r="D91" s="34" t="s">
        <v>91</v>
      </c>
      <c r="E91" s="2" t="s">
        <v>89</v>
      </c>
      <c r="F91" s="2" t="s">
        <v>89</v>
      </c>
      <c r="G91" s="2" t="s">
        <v>92</v>
      </c>
      <c r="H91" s="2"/>
      <c r="I91" s="14">
        <f>1016*2.5</f>
        <v>2540</v>
      </c>
      <c r="J91" s="2" t="s">
        <v>93</v>
      </c>
    </row>
    <row r="92" spans="4:17" x14ac:dyDescent="0.25">
      <c r="D92" s="34" t="s">
        <v>94</v>
      </c>
      <c r="E92" s="2" t="s">
        <v>95</v>
      </c>
      <c r="F92" s="2" t="s">
        <v>96</v>
      </c>
      <c r="G92" s="2" t="s">
        <v>89</v>
      </c>
      <c r="H92" s="2"/>
      <c r="I92" s="14">
        <f>3267*1.5</f>
        <v>4900.5</v>
      </c>
      <c r="J92" s="2" t="s">
        <v>97</v>
      </c>
    </row>
    <row r="93" spans="4:17" x14ac:dyDescent="0.25">
      <c r="D93" s="34" t="s">
        <v>98</v>
      </c>
      <c r="E93" s="2" t="s">
        <v>99</v>
      </c>
      <c r="F93" s="2">
        <v>1.5</v>
      </c>
      <c r="G93" s="2" t="s">
        <v>89</v>
      </c>
      <c r="H93" s="2" t="s">
        <v>89</v>
      </c>
      <c r="I93" s="14">
        <f>20004.5</f>
        <v>20004.5</v>
      </c>
      <c r="J93" s="2" t="s">
        <v>100</v>
      </c>
    </row>
    <row r="94" spans="4:17" x14ac:dyDescent="0.25">
      <c r="D94" s="34" t="s">
        <v>101</v>
      </c>
      <c r="E94" s="2"/>
      <c r="F94" s="2" t="s">
        <v>102</v>
      </c>
      <c r="G94" s="2" t="s">
        <v>103</v>
      </c>
      <c r="H94" s="2" t="s">
        <v>103</v>
      </c>
      <c r="I94" s="14">
        <f>800*55</f>
        <v>44000</v>
      </c>
      <c r="J94" s="2" t="s">
        <v>100</v>
      </c>
    </row>
    <row r="95" spans="4:17" x14ac:dyDescent="0.25">
      <c r="D95" s="34" t="s">
        <v>104</v>
      </c>
      <c r="E95" s="2" t="s">
        <v>89</v>
      </c>
      <c r="F95" s="2" t="s">
        <v>92</v>
      </c>
      <c r="G95" s="2" t="s">
        <v>89</v>
      </c>
      <c r="H95" s="2"/>
      <c r="I95" s="14"/>
      <c r="J95" s="2"/>
    </row>
    <row r="96" spans="4:17" x14ac:dyDescent="0.25">
      <c r="D96" s="35" t="s">
        <v>105</v>
      </c>
      <c r="E96" s="2"/>
      <c r="F96" s="2"/>
      <c r="G96" s="2"/>
      <c r="H96" s="2" t="s">
        <v>89</v>
      </c>
      <c r="I96" s="14">
        <v>2500</v>
      </c>
      <c r="J96" s="2" t="s">
        <v>89</v>
      </c>
    </row>
    <row r="97" spans="4:18" x14ac:dyDescent="0.25">
      <c r="D97" s="35" t="s">
        <v>106</v>
      </c>
      <c r="E97" s="2"/>
      <c r="F97" s="2"/>
      <c r="G97" s="2"/>
      <c r="H97" s="2" t="s">
        <v>107</v>
      </c>
      <c r="I97" s="14">
        <v>2240</v>
      </c>
      <c r="J97" s="2" t="s">
        <v>89</v>
      </c>
    </row>
    <row r="98" spans="4:18" x14ac:dyDescent="0.25">
      <c r="D98" s="35" t="s">
        <v>108</v>
      </c>
      <c r="E98" s="2"/>
      <c r="F98" s="2"/>
      <c r="G98" s="2"/>
      <c r="H98" s="2" t="s">
        <v>109</v>
      </c>
      <c r="I98" s="14">
        <v>1860</v>
      </c>
      <c r="J98" s="2" t="s">
        <v>89</v>
      </c>
    </row>
    <row r="99" spans="4:18" x14ac:dyDescent="0.25">
      <c r="D99" s="35" t="s">
        <v>110</v>
      </c>
      <c r="E99" s="2"/>
      <c r="F99" s="2"/>
      <c r="G99" s="2"/>
      <c r="H99" s="2" t="s">
        <v>111</v>
      </c>
      <c r="I99" s="14">
        <v>3475</v>
      </c>
      <c r="J99" s="2" t="s">
        <v>89</v>
      </c>
    </row>
    <row r="100" spans="4:18" x14ac:dyDescent="0.25">
      <c r="D100" s="34" t="s">
        <v>112</v>
      </c>
      <c r="E100" s="2" t="s">
        <v>89</v>
      </c>
      <c r="F100" s="2">
        <v>0</v>
      </c>
      <c r="G100" s="2">
        <v>0</v>
      </c>
      <c r="H100" s="2"/>
      <c r="I100" s="14"/>
      <c r="J100" s="2" t="s">
        <v>89</v>
      </c>
    </row>
    <row r="101" spans="4:18" x14ac:dyDescent="0.25">
      <c r="D101" s="34" t="s">
        <v>36</v>
      </c>
      <c r="E101" s="2">
        <v>1</v>
      </c>
      <c r="F101" s="2">
        <v>1</v>
      </c>
      <c r="G101" s="2">
        <v>1</v>
      </c>
      <c r="H101" s="2">
        <v>1</v>
      </c>
      <c r="I101" s="14">
        <v>10000</v>
      </c>
      <c r="J101" s="2" t="s">
        <v>90</v>
      </c>
      <c r="R101" s="12"/>
    </row>
    <row r="102" spans="4:18" x14ac:dyDescent="0.25">
      <c r="D102" s="36"/>
      <c r="E102" s="37"/>
      <c r="F102" s="37"/>
      <c r="G102" s="37"/>
      <c r="H102" s="37"/>
      <c r="I102" s="38"/>
    </row>
    <row r="103" spans="4:18" x14ac:dyDescent="0.25">
      <c r="D103" s="484" t="s">
        <v>250</v>
      </c>
      <c r="E103" s="484"/>
      <c r="F103" s="484"/>
      <c r="G103" s="484"/>
      <c r="H103" s="484"/>
    </row>
    <row r="104" spans="4:18" x14ac:dyDescent="0.25">
      <c r="D104" s="39"/>
      <c r="E104" s="40" t="s">
        <v>44</v>
      </c>
      <c r="F104" s="40" t="s">
        <v>76</v>
      </c>
      <c r="G104" s="40" t="s">
        <v>50</v>
      </c>
      <c r="H104" s="40" t="s">
        <v>53</v>
      </c>
    </row>
    <row r="105" spans="4:18" ht="21.6" customHeight="1" x14ac:dyDescent="0.25">
      <c r="D105" s="34" t="s">
        <v>113</v>
      </c>
      <c r="E105" s="14" t="s">
        <v>114</v>
      </c>
      <c r="F105" s="2" t="s">
        <v>115</v>
      </c>
      <c r="G105" s="2" t="s">
        <v>116</v>
      </c>
      <c r="H105" s="2">
        <v>100</v>
      </c>
    </row>
    <row r="106" spans="4:18" ht="18" customHeight="1" x14ac:dyDescent="0.25">
      <c r="D106" s="34" t="s">
        <v>83</v>
      </c>
      <c r="E106" s="41">
        <v>280</v>
      </c>
      <c r="F106" s="2">
        <v>50</v>
      </c>
      <c r="G106" s="2">
        <v>100</v>
      </c>
      <c r="H106" s="2">
        <v>0</v>
      </c>
    </row>
    <row r="107" spans="4:18" x14ac:dyDescent="0.25">
      <c r="D107" s="34" t="s">
        <v>87</v>
      </c>
      <c r="E107" s="41">
        <v>40</v>
      </c>
      <c r="F107" s="2">
        <v>0</v>
      </c>
      <c r="G107" s="2">
        <v>0</v>
      </c>
      <c r="H107" s="2">
        <v>30</v>
      </c>
    </row>
    <row r="108" spans="4:18" x14ac:dyDescent="0.25">
      <c r="D108" s="34" t="s">
        <v>91</v>
      </c>
      <c r="E108" s="41">
        <v>4</v>
      </c>
      <c r="F108" s="2">
        <v>4</v>
      </c>
      <c r="G108" s="2">
        <v>2</v>
      </c>
      <c r="H108" s="2">
        <v>0</v>
      </c>
    </row>
    <row r="109" spans="4:18" x14ac:dyDescent="0.25">
      <c r="D109" s="34" t="s">
        <v>94</v>
      </c>
      <c r="E109" s="41">
        <v>8</v>
      </c>
      <c r="F109" s="2">
        <v>4</v>
      </c>
      <c r="G109" s="2">
        <v>4</v>
      </c>
      <c r="H109" s="2">
        <v>0</v>
      </c>
    </row>
    <row r="110" spans="4:18" x14ac:dyDescent="0.25">
      <c r="D110" s="34" t="s">
        <v>98</v>
      </c>
      <c r="E110" s="42">
        <v>8</v>
      </c>
      <c r="F110" s="2">
        <v>8</v>
      </c>
      <c r="G110" s="2">
        <v>4</v>
      </c>
      <c r="H110" s="2">
        <v>30</v>
      </c>
    </row>
    <row r="111" spans="4:18" x14ac:dyDescent="0.25">
      <c r="D111" s="34" t="s">
        <v>101</v>
      </c>
      <c r="E111" s="42">
        <v>0</v>
      </c>
      <c r="F111" s="2">
        <v>0</v>
      </c>
      <c r="G111" s="2">
        <v>80</v>
      </c>
      <c r="H111" s="2">
        <f>15*22</f>
        <v>330</v>
      </c>
    </row>
    <row r="112" spans="4:18" x14ac:dyDescent="0.25">
      <c r="D112" s="34" t="s">
        <v>104</v>
      </c>
      <c r="E112" s="42">
        <v>4</v>
      </c>
      <c r="F112" s="2">
        <v>0</v>
      </c>
      <c r="G112" s="2">
        <v>4</v>
      </c>
      <c r="H112" s="2">
        <v>0</v>
      </c>
    </row>
    <row r="113" spans="4:18" x14ac:dyDescent="0.25">
      <c r="D113" s="35" t="s">
        <v>105</v>
      </c>
      <c r="E113" s="42">
        <v>0</v>
      </c>
      <c r="F113" s="2">
        <v>0</v>
      </c>
      <c r="G113" s="2">
        <v>0</v>
      </c>
      <c r="H113" s="2">
        <v>30</v>
      </c>
    </row>
    <row r="114" spans="4:18" x14ac:dyDescent="0.25">
      <c r="D114" s="35" t="s">
        <v>106</v>
      </c>
      <c r="E114" s="42">
        <v>0</v>
      </c>
      <c r="F114" s="2">
        <v>0</v>
      </c>
      <c r="G114" s="2">
        <v>0</v>
      </c>
      <c r="H114" s="2">
        <v>100</v>
      </c>
    </row>
    <row r="115" spans="4:18" x14ac:dyDescent="0.25">
      <c r="D115" s="35" t="s">
        <v>108</v>
      </c>
      <c r="E115" s="42">
        <v>0</v>
      </c>
      <c r="F115" s="2">
        <v>0</v>
      </c>
      <c r="G115" s="2">
        <v>0</v>
      </c>
      <c r="H115" s="2">
        <v>0</v>
      </c>
    </row>
    <row r="116" spans="4:18" x14ac:dyDescent="0.25">
      <c r="D116" s="35" t="s">
        <v>110</v>
      </c>
      <c r="E116" s="42">
        <v>0</v>
      </c>
      <c r="F116" s="2">
        <v>0</v>
      </c>
      <c r="G116" s="2">
        <v>0</v>
      </c>
      <c r="H116" s="2">
        <v>1</v>
      </c>
    </row>
    <row r="117" spans="4:18" x14ac:dyDescent="0.25">
      <c r="D117" s="34" t="s">
        <v>112</v>
      </c>
      <c r="E117" s="42">
        <v>0</v>
      </c>
      <c r="F117" s="43">
        <v>0</v>
      </c>
      <c r="G117" s="2">
        <v>0</v>
      </c>
      <c r="H117" s="2">
        <v>0</v>
      </c>
    </row>
    <row r="118" spans="4:18" x14ac:dyDescent="0.25">
      <c r="D118" s="34" t="s">
        <v>36</v>
      </c>
      <c r="E118" s="42">
        <v>8</v>
      </c>
      <c r="F118" s="2">
        <v>4</v>
      </c>
      <c r="G118" s="2">
        <v>2</v>
      </c>
      <c r="H118" s="2">
        <v>1</v>
      </c>
      <c r="L118" s="11">
        <f>50000*22</f>
        <v>1100000</v>
      </c>
    </row>
    <row r="120" spans="4:18" x14ac:dyDescent="0.25">
      <c r="D120" s="468" t="s">
        <v>117</v>
      </c>
      <c r="E120" s="468"/>
      <c r="F120" s="468"/>
      <c r="G120" s="468"/>
    </row>
    <row r="122" spans="4:18" ht="28.9" customHeight="1" x14ac:dyDescent="0.25">
      <c r="D122" s="1" t="s">
        <v>118</v>
      </c>
      <c r="E122" s="1" t="s">
        <v>119</v>
      </c>
      <c r="F122" s="44" t="s">
        <v>120</v>
      </c>
      <c r="G122" s="1" t="s">
        <v>121</v>
      </c>
      <c r="O122" s="1" t="s">
        <v>118</v>
      </c>
      <c r="P122" s="1" t="s">
        <v>119</v>
      </c>
      <c r="Q122" s="193"/>
      <c r="R122" s="54"/>
    </row>
    <row r="123" spans="4:18" x14ac:dyDescent="0.25">
      <c r="D123" s="2" t="s">
        <v>15</v>
      </c>
      <c r="E123" s="45">
        <f>E77+E78+E79</f>
        <v>3600000</v>
      </c>
      <c r="F123" s="46">
        <f>E123/E129</f>
        <v>0.32432432432432434</v>
      </c>
      <c r="G123" s="47">
        <f>F123</f>
        <v>0.32432432432432434</v>
      </c>
      <c r="I123" s="2" t="s">
        <v>15</v>
      </c>
      <c r="J123" s="46">
        <f t="shared" ref="J123:J128" si="0">F123</f>
        <v>0.32432432432432434</v>
      </c>
      <c r="O123" s="2" t="s">
        <v>15</v>
      </c>
      <c r="P123" s="45">
        <v>3600000</v>
      </c>
      <c r="Q123" s="200"/>
    </row>
    <row r="124" spans="4:18" x14ac:dyDescent="0.25">
      <c r="D124" s="6" t="s">
        <v>18</v>
      </c>
      <c r="E124" s="45">
        <f>K76</f>
        <v>2000000</v>
      </c>
      <c r="F124" s="46">
        <f>E124/E129</f>
        <v>0.18018018018018017</v>
      </c>
      <c r="G124" s="47">
        <f t="shared" ref="G124:G128" si="1">G123+F124</f>
        <v>0.50450450450450446</v>
      </c>
      <c r="I124" s="6" t="s">
        <v>18</v>
      </c>
      <c r="J124" s="46">
        <f t="shared" si="0"/>
        <v>0.18018018018018017</v>
      </c>
      <c r="O124" s="2" t="s">
        <v>122</v>
      </c>
      <c r="P124" s="45">
        <v>1500000</v>
      </c>
      <c r="Q124" s="199"/>
    </row>
    <row r="125" spans="4:18" ht="30" x14ac:dyDescent="0.25">
      <c r="D125" s="6" t="s">
        <v>20</v>
      </c>
      <c r="E125" s="45">
        <f>G76</f>
        <v>1500000</v>
      </c>
      <c r="F125" s="46">
        <f>E125/E129</f>
        <v>0.13513513513513514</v>
      </c>
      <c r="G125" s="47">
        <f>G124+F125</f>
        <v>0.63963963963963955</v>
      </c>
      <c r="I125" s="6" t="s">
        <v>20</v>
      </c>
      <c r="J125" s="46">
        <f t="shared" si="0"/>
        <v>0.13513513513513514</v>
      </c>
      <c r="O125" s="2" t="s">
        <v>123</v>
      </c>
      <c r="P125" s="45">
        <v>650000</v>
      </c>
      <c r="Q125" s="199"/>
    </row>
    <row r="126" spans="4:18" ht="30" x14ac:dyDescent="0.25">
      <c r="D126" s="6" t="s">
        <v>23</v>
      </c>
      <c r="E126" s="14">
        <f>I78</f>
        <v>2700000</v>
      </c>
      <c r="F126" s="50">
        <f>E126/E129</f>
        <v>0.24324324324324326</v>
      </c>
      <c r="G126" s="47">
        <f t="shared" si="1"/>
        <v>0.88288288288288275</v>
      </c>
      <c r="I126" s="6" t="s">
        <v>23</v>
      </c>
      <c r="J126" s="50">
        <f t="shared" si="0"/>
        <v>0.24324324324324326</v>
      </c>
      <c r="O126" s="2" t="s">
        <v>124</v>
      </c>
      <c r="P126" s="45">
        <v>650000</v>
      </c>
      <c r="Q126" s="199"/>
    </row>
    <row r="127" spans="4:18" ht="30" x14ac:dyDescent="0.25">
      <c r="D127" s="6" t="s">
        <v>25</v>
      </c>
      <c r="E127" s="14">
        <f>L76</f>
        <v>500000</v>
      </c>
      <c r="F127" s="50">
        <f>E127/E129</f>
        <v>4.5045045045045043E-2</v>
      </c>
      <c r="G127" s="47">
        <f t="shared" si="1"/>
        <v>0.92792792792792778</v>
      </c>
      <c r="I127" s="6" t="s">
        <v>25</v>
      </c>
      <c r="J127" s="50">
        <f t="shared" si="0"/>
        <v>4.5045045045045043E-2</v>
      </c>
      <c r="O127" s="2" t="s">
        <v>125</v>
      </c>
      <c r="P127" s="45">
        <v>800000</v>
      </c>
      <c r="Q127" s="199"/>
    </row>
    <row r="128" spans="4:18" x14ac:dyDescent="0.25">
      <c r="D128" s="6" t="s">
        <v>10</v>
      </c>
      <c r="E128" s="14">
        <f>N76</f>
        <v>800000</v>
      </c>
      <c r="F128" s="50">
        <f>E128/E129</f>
        <v>7.2072072072072071E-2</v>
      </c>
      <c r="G128" s="47">
        <f t="shared" si="1"/>
        <v>0.99999999999999989</v>
      </c>
      <c r="I128" s="6" t="s">
        <v>10</v>
      </c>
      <c r="J128" s="50">
        <f t="shared" si="0"/>
        <v>7.2072072072072071E-2</v>
      </c>
      <c r="O128" s="6" t="s">
        <v>18</v>
      </c>
      <c r="P128" s="45">
        <v>2000000</v>
      </c>
      <c r="Q128" s="200"/>
    </row>
    <row r="129" spans="4:10" x14ac:dyDescent="0.25">
      <c r="D129" s="2" t="s">
        <v>126</v>
      </c>
      <c r="E129" s="14">
        <f>SUM(E123:E128)</f>
        <v>11100000</v>
      </c>
      <c r="F129" s="51">
        <f>SUM(F123:F128)</f>
        <v>0.99999999999999989</v>
      </c>
      <c r="G129" s="2"/>
    </row>
    <row r="130" spans="4:10" x14ac:dyDescent="0.25">
      <c r="E130" s="38"/>
      <c r="F130" s="52"/>
    </row>
    <row r="131" spans="4:10" x14ac:dyDescent="0.25">
      <c r="E131" s="38"/>
      <c r="F131" s="52"/>
    </row>
    <row r="132" spans="4:10" x14ac:dyDescent="0.25">
      <c r="D132" s="484" t="s">
        <v>127</v>
      </c>
      <c r="E132" s="484"/>
      <c r="F132" s="484"/>
      <c r="G132" s="484"/>
    </row>
    <row r="133" spans="4:10" ht="38.450000000000003" customHeight="1" x14ac:dyDescent="0.25">
      <c r="D133" s="44" t="s">
        <v>128</v>
      </c>
      <c r="E133" s="1" t="s">
        <v>65</v>
      </c>
      <c r="F133" s="44" t="s">
        <v>129</v>
      </c>
      <c r="G133" s="1" t="s">
        <v>130</v>
      </c>
      <c r="I133" s="2" t="s">
        <v>514</v>
      </c>
      <c r="J133" s="23">
        <f>G142</f>
        <v>0.28378378378378377</v>
      </c>
    </row>
    <row r="134" spans="4:10" x14ac:dyDescent="0.25">
      <c r="D134" s="2" t="s">
        <v>514</v>
      </c>
      <c r="E134" s="14">
        <f>P77</f>
        <v>3150000</v>
      </c>
      <c r="F134" s="51">
        <f>E134/E137</f>
        <v>0.375</v>
      </c>
      <c r="G134" s="23">
        <f>F134</f>
        <v>0.375</v>
      </c>
      <c r="I134" s="2" t="s">
        <v>72</v>
      </c>
      <c r="J134" s="23">
        <f>F135</f>
        <v>0.45833333333333331</v>
      </c>
    </row>
    <row r="135" spans="4:10" x14ac:dyDescent="0.25">
      <c r="D135" s="2" t="s">
        <v>72</v>
      </c>
      <c r="E135" s="14">
        <f>E78+K78+L78</f>
        <v>3850000</v>
      </c>
      <c r="F135" s="51">
        <f>E135/E137</f>
        <v>0.45833333333333331</v>
      </c>
      <c r="G135" s="23">
        <f>F135+G134</f>
        <v>0.83333333333333326</v>
      </c>
      <c r="I135" s="2" t="s">
        <v>515</v>
      </c>
      <c r="J135" s="23">
        <f>F136</f>
        <v>0.16666666666666666</v>
      </c>
    </row>
    <row r="136" spans="4:10" x14ac:dyDescent="0.25">
      <c r="D136" s="2" t="s">
        <v>515</v>
      </c>
      <c r="E136" s="14">
        <f>P79</f>
        <v>1400000</v>
      </c>
      <c r="F136" s="51">
        <f>E136/E137</f>
        <v>0.16666666666666666</v>
      </c>
      <c r="G136" s="23">
        <f>G135+F136</f>
        <v>0.99999999999999989</v>
      </c>
    </row>
    <row r="137" spans="4:10" x14ac:dyDescent="0.25">
      <c r="D137" s="2" t="s">
        <v>131</v>
      </c>
      <c r="E137" s="14">
        <f>+E136+E135+E134</f>
        <v>8400000</v>
      </c>
      <c r="F137" s="51">
        <f>F136+F135+F134</f>
        <v>1</v>
      </c>
      <c r="G137" s="2"/>
    </row>
    <row r="138" spans="4:10" x14ac:dyDescent="0.25">
      <c r="E138" s="38"/>
      <c r="F138" s="52"/>
    </row>
    <row r="139" spans="4:10" x14ac:dyDescent="0.25">
      <c r="E139" s="38"/>
      <c r="F139" s="52"/>
    </row>
    <row r="140" spans="4:10" x14ac:dyDescent="0.25">
      <c r="D140" s="484" t="s">
        <v>132</v>
      </c>
      <c r="E140" s="484"/>
      <c r="F140" s="484"/>
      <c r="G140" s="484"/>
    </row>
    <row r="141" spans="4:10" ht="30" x14ac:dyDescent="0.25">
      <c r="D141" s="44" t="s">
        <v>128</v>
      </c>
      <c r="E141" s="1" t="s">
        <v>65</v>
      </c>
      <c r="F141" s="44" t="s">
        <v>129</v>
      </c>
      <c r="G141" s="1" t="s">
        <v>130</v>
      </c>
    </row>
    <row r="142" spans="4:10" x14ac:dyDescent="0.25">
      <c r="D142" s="2" t="s">
        <v>4</v>
      </c>
      <c r="E142" s="14">
        <v>3150000</v>
      </c>
      <c r="F142" s="51">
        <f>E142/E145</f>
        <v>0.28378378378378377</v>
      </c>
      <c r="G142" s="23">
        <f>F142</f>
        <v>0.28378378378378377</v>
      </c>
    </row>
    <row r="143" spans="4:10" x14ac:dyDescent="0.25">
      <c r="D143" s="2" t="s">
        <v>7</v>
      </c>
      <c r="E143" s="14">
        <v>6550000</v>
      </c>
      <c r="F143" s="51">
        <f>E143/E145</f>
        <v>0.59009009009009006</v>
      </c>
      <c r="G143" s="23">
        <f>F143+G142</f>
        <v>0.87387387387387383</v>
      </c>
    </row>
    <row r="144" spans="4:10" x14ac:dyDescent="0.25">
      <c r="D144" s="2" t="s">
        <v>10</v>
      </c>
      <c r="E144" s="14">
        <v>1400000</v>
      </c>
      <c r="F144" s="51">
        <f>E144/E145</f>
        <v>0.12612612612612611</v>
      </c>
      <c r="G144" s="23">
        <f>G143+F144</f>
        <v>1</v>
      </c>
    </row>
    <row r="145" spans="4:21" x14ac:dyDescent="0.25">
      <c r="D145" s="2" t="s">
        <v>131</v>
      </c>
      <c r="E145" s="14">
        <f>+E144+E143+E142</f>
        <v>11100000</v>
      </c>
      <c r="F145" s="51">
        <f>F144+F143+F142</f>
        <v>1</v>
      </c>
      <c r="G145" s="2"/>
    </row>
    <row r="146" spans="4:21" x14ac:dyDescent="0.25">
      <c r="R146" s="6" t="s">
        <v>20</v>
      </c>
      <c r="S146" s="48">
        <v>1500000</v>
      </c>
      <c r="T146" s="49">
        <f>S146/S163</f>
        <v>0.13513513513513514</v>
      </c>
      <c r="U146" s="2"/>
    </row>
    <row r="147" spans="4:21" x14ac:dyDescent="0.25">
      <c r="D147" s="485" t="s">
        <v>133</v>
      </c>
      <c r="E147" s="486"/>
      <c r="F147" s="486"/>
      <c r="G147" s="486"/>
      <c r="H147" s="486"/>
      <c r="I147" s="486"/>
      <c r="J147" s="54"/>
      <c r="K147" s="54"/>
      <c r="R147" t="s">
        <v>4</v>
      </c>
      <c r="T147" s="24">
        <v>1</v>
      </c>
      <c r="U147" s="2"/>
    </row>
    <row r="148" spans="4:21" x14ac:dyDescent="0.25">
      <c r="D148" s="477" t="s">
        <v>134</v>
      </c>
      <c r="E148" s="55" t="s">
        <v>135</v>
      </c>
      <c r="F148" s="479" t="s">
        <v>136</v>
      </c>
      <c r="G148" s="480"/>
      <c r="H148" s="480"/>
      <c r="I148" s="480"/>
      <c r="R148" s="6" t="s">
        <v>23</v>
      </c>
      <c r="S148" s="56">
        <v>2700000</v>
      </c>
      <c r="T148" s="57">
        <f>S148/S163</f>
        <v>0.24324324324324326</v>
      </c>
      <c r="U148" s="2"/>
    </row>
    <row r="149" spans="4:21" ht="56.25" x14ac:dyDescent="0.25">
      <c r="D149" s="478"/>
      <c r="E149" s="118" t="s">
        <v>122</v>
      </c>
      <c r="F149" s="58" t="s">
        <v>137</v>
      </c>
      <c r="G149" s="58" t="s">
        <v>138</v>
      </c>
      <c r="H149" s="58" t="s">
        <v>139</v>
      </c>
      <c r="I149" s="58" t="s">
        <v>61</v>
      </c>
      <c r="R149" s="6" t="s">
        <v>140</v>
      </c>
      <c r="S149" s="56">
        <v>300000</v>
      </c>
      <c r="T149" s="24">
        <f>S149/S148</f>
        <v>0.1111111111111111</v>
      </c>
      <c r="U149" s="2" t="s">
        <v>141</v>
      </c>
    </row>
    <row r="150" spans="4:21" ht="30" x14ac:dyDescent="0.25">
      <c r="D150" s="6"/>
      <c r="E150" s="14">
        <f>E77</f>
        <v>1500000</v>
      </c>
      <c r="F150" s="14"/>
      <c r="G150" s="14"/>
      <c r="H150" s="14"/>
      <c r="I150" s="14"/>
      <c r="J150" s="38"/>
      <c r="R150" s="6" t="s">
        <v>142</v>
      </c>
      <c r="S150" s="56">
        <v>300000</v>
      </c>
      <c r="T150" s="24">
        <f>S150/S148</f>
        <v>0.1111111111111111</v>
      </c>
      <c r="U150" s="2" t="s">
        <v>143</v>
      </c>
    </row>
    <row r="151" spans="4:21" ht="30" x14ac:dyDescent="0.25">
      <c r="D151" s="6"/>
      <c r="E151" s="23">
        <v>1</v>
      </c>
      <c r="F151" s="2"/>
      <c r="G151" s="2"/>
      <c r="H151" s="2"/>
      <c r="I151" s="2"/>
      <c r="R151" s="6" t="s">
        <v>144</v>
      </c>
      <c r="S151" s="56">
        <v>300000</v>
      </c>
      <c r="T151" s="24">
        <f>S151/S148</f>
        <v>0.1111111111111111</v>
      </c>
      <c r="U151" s="2" t="s">
        <v>143</v>
      </c>
    </row>
    <row r="152" spans="4:21" ht="30" x14ac:dyDescent="0.25">
      <c r="D152" s="3" t="s">
        <v>145</v>
      </c>
      <c r="E152" s="59">
        <f>'ENCUESTAS '!E51</f>
        <v>0.5</v>
      </c>
      <c r="F152" s="19" t="s">
        <v>146</v>
      </c>
      <c r="G152" s="19" t="s">
        <v>146</v>
      </c>
      <c r="H152" s="19"/>
      <c r="I152" s="23"/>
      <c r="J152" s="8"/>
      <c r="R152" s="6" t="s">
        <v>147</v>
      </c>
      <c r="S152" s="56">
        <v>300000</v>
      </c>
      <c r="T152" s="24">
        <f>S152/S148</f>
        <v>0.1111111111111111</v>
      </c>
      <c r="U152" s="2" t="s">
        <v>148</v>
      </c>
    </row>
    <row r="153" spans="4:21" x14ac:dyDescent="0.25">
      <c r="D153" s="60" t="s">
        <v>149</v>
      </c>
      <c r="E153" s="61">
        <f>'ENCUESTAS '!E52</f>
        <v>0.5</v>
      </c>
      <c r="F153" s="2"/>
      <c r="G153" s="2"/>
      <c r="H153" s="23">
        <f>M77</f>
        <v>0.2</v>
      </c>
      <c r="I153" s="2"/>
      <c r="R153" s="6" t="s">
        <v>150</v>
      </c>
      <c r="S153" s="56">
        <v>300000</v>
      </c>
      <c r="T153" s="24">
        <f>S153/S148</f>
        <v>0.1111111111111111</v>
      </c>
      <c r="U153" s="2" t="s">
        <v>151</v>
      </c>
    </row>
    <row r="154" spans="4:21" ht="30" x14ac:dyDescent="0.25">
      <c r="D154" s="6" t="s">
        <v>152</v>
      </c>
      <c r="E154" s="23">
        <f>E152+E153</f>
        <v>1</v>
      </c>
      <c r="F154" s="2"/>
      <c r="G154" s="2"/>
      <c r="H154" s="23">
        <v>0.2</v>
      </c>
      <c r="I154" s="2"/>
      <c r="J154" t="s">
        <v>66</v>
      </c>
      <c r="R154" s="6" t="s">
        <v>153</v>
      </c>
      <c r="S154" s="56">
        <v>300000</v>
      </c>
      <c r="T154" s="24">
        <f>S154/S148</f>
        <v>0.1111111111111111</v>
      </c>
      <c r="U154" s="2" t="s">
        <v>154</v>
      </c>
    </row>
    <row r="155" spans="4:21" x14ac:dyDescent="0.25">
      <c r="R155" s="6" t="s">
        <v>155</v>
      </c>
      <c r="S155" s="56">
        <v>300000</v>
      </c>
      <c r="T155" s="24">
        <f>S155/S148</f>
        <v>0.1111111111111111</v>
      </c>
      <c r="U155" s="2" t="s">
        <v>151</v>
      </c>
    </row>
    <row r="156" spans="4:21" x14ac:dyDescent="0.25">
      <c r="R156" s="6" t="s">
        <v>156</v>
      </c>
      <c r="S156" s="56">
        <v>300000</v>
      </c>
      <c r="T156" s="24">
        <f>S156/S148</f>
        <v>0.1111111111111111</v>
      </c>
      <c r="U156" s="2" t="s">
        <v>151</v>
      </c>
    </row>
    <row r="157" spans="4:21" x14ac:dyDescent="0.25">
      <c r="D157" s="467" t="s">
        <v>157</v>
      </c>
      <c r="E157" s="468"/>
      <c r="F157" s="468"/>
      <c r="G157" s="468"/>
      <c r="H157" s="468"/>
      <c r="I157" s="468"/>
      <c r="J157" s="468"/>
      <c r="R157" s="6" t="s">
        <v>158</v>
      </c>
      <c r="S157" s="56">
        <v>300000</v>
      </c>
      <c r="T157" s="24">
        <f>S157/S148</f>
        <v>0.1111111111111111</v>
      </c>
      <c r="U157" s="2" t="s">
        <v>143</v>
      </c>
    </row>
    <row r="158" spans="4:21" x14ac:dyDescent="0.25">
      <c r="D158" s="477" t="s">
        <v>134</v>
      </c>
      <c r="E158" s="488" t="s">
        <v>135</v>
      </c>
      <c r="F158" s="489"/>
      <c r="G158" s="62" t="s">
        <v>136</v>
      </c>
      <c r="H158" s="63"/>
      <c r="I158" s="63"/>
      <c r="J158" s="490" t="s">
        <v>159</v>
      </c>
      <c r="K158" s="491"/>
      <c r="L158" s="491"/>
      <c r="M158" s="491"/>
      <c r="N158" s="492"/>
      <c r="R158" s="6" t="s">
        <v>160</v>
      </c>
      <c r="S158" s="56">
        <v>500000</v>
      </c>
      <c r="T158" s="57">
        <f>S158/S163</f>
        <v>4.5045045045045043E-2</v>
      </c>
      <c r="U158" s="2"/>
    </row>
    <row r="159" spans="4:21" ht="60.75" x14ac:dyDescent="0.25">
      <c r="D159" s="478"/>
      <c r="E159" s="55" t="s">
        <v>123</v>
      </c>
      <c r="F159" s="55" t="s">
        <v>124</v>
      </c>
      <c r="G159" s="58" t="s">
        <v>138</v>
      </c>
      <c r="H159" s="58" t="s">
        <v>139</v>
      </c>
      <c r="I159" s="58" t="s">
        <v>61</v>
      </c>
      <c r="J159" s="64" t="s">
        <v>131</v>
      </c>
      <c r="K159" s="64" t="s">
        <v>161</v>
      </c>
      <c r="L159" s="64" t="s">
        <v>162</v>
      </c>
      <c r="M159" s="64" t="s">
        <v>163</v>
      </c>
      <c r="N159" s="64" t="s">
        <v>164</v>
      </c>
      <c r="R159" s="65" t="s">
        <v>4</v>
      </c>
      <c r="S159" s="66">
        <v>100000</v>
      </c>
      <c r="T159" s="24">
        <f>S159/S158</f>
        <v>0.2</v>
      </c>
      <c r="U159" s="2"/>
    </row>
    <row r="160" spans="4:21" x14ac:dyDescent="0.25">
      <c r="D160" s="6"/>
      <c r="E160" s="14">
        <f>'COSTOS DE PRODUCCIÓN'!D13</f>
        <v>800000</v>
      </c>
      <c r="F160" s="11">
        <f>'COSTOS DE PRODUCCIÓN'!D14</f>
        <v>800000</v>
      </c>
      <c r="G160" s="14"/>
      <c r="H160" s="14"/>
      <c r="I160" s="14"/>
      <c r="J160" s="14">
        <f>F160+E160</f>
        <v>1600000</v>
      </c>
      <c r="K160" s="67"/>
      <c r="M160" s="67"/>
      <c r="N160" s="67"/>
      <c r="R160" s="65" t="s">
        <v>165</v>
      </c>
      <c r="S160" s="66">
        <v>350000</v>
      </c>
      <c r="T160" s="24">
        <f>S160/S158</f>
        <v>0.7</v>
      </c>
      <c r="U160" s="2"/>
    </row>
    <row r="161" spans="4:21" ht="34.9" customHeight="1" x14ac:dyDescent="0.25">
      <c r="D161" s="6"/>
      <c r="E161" s="68">
        <f>'ENCUESTAS '!E66</f>
        <v>2.5000000000000001E-2</v>
      </c>
      <c r="F161" s="69">
        <v>2.5000000000000001E-2</v>
      </c>
      <c r="G161" s="2"/>
      <c r="H161" s="2"/>
      <c r="I161" s="2"/>
      <c r="J161" s="70">
        <v>1</v>
      </c>
      <c r="K161" s="71"/>
      <c r="M161" s="71"/>
      <c r="N161" s="71"/>
      <c r="R161" s="65" t="s">
        <v>166</v>
      </c>
      <c r="S161" s="66">
        <v>50000</v>
      </c>
      <c r="T161" s="24">
        <f>S161/S158</f>
        <v>0.1</v>
      </c>
      <c r="U161" s="2"/>
    </row>
    <row r="162" spans="4:21" ht="24" customHeight="1" x14ac:dyDescent="0.25">
      <c r="D162" s="6" t="s">
        <v>140</v>
      </c>
      <c r="E162" s="69">
        <f>'ENCUESTAS '!E67</f>
        <v>2.5000000000000001E-2</v>
      </c>
      <c r="F162" s="69">
        <f>'ENCUESTAS '!E29</f>
        <v>2.5000000000000001E-2</v>
      </c>
      <c r="G162" s="19"/>
      <c r="H162" s="19"/>
      <c r="I162" s="23"/>
      <c r="J162" s="70">
        <f>SUM(E162:F162)</f>
        <v>0.05</v>
      </c>
      <c r="K162" s="72">
        <f>H276</f>
        <v>0.5</v>
      </c>
      <c r="L162" s="73">
        <f>H177</f>
        <v>0.125</v>
      </c>
      <c r="M162" s="72">
        <v>0</v>
      </c>
      <c r="N162" s="72">
        <f t="shared" ref="N162:N170" si="2">H203</f>
        <v>0.125</v>
      </c>
      <c r="R162" s="6" t="s">
        <v>167</v>
      </c>
      <c r="S162" s="56">
        <v>800000</v>
      </c>
      <c r="T162" s="57">
        <f>S162/S163</f>
        <v>7.2072072072072071E-2</v>
      </c>
      <c r="U162" s="2"/>
    </row>
    <row r="163" spans="4:21" ht="27.6" customHeight="1" x14ac:dyDescent="0.25">
      <c r="D163" s="6" t="s">
        <v>142</v>
      </c>
      <c r="E163" s="69">
        <v>2.5000000000000001E-2</v>
      </c>
      <c r="F163" s="69">
        <f>'ENCUESTAS '!E30</f>
        <v>2.5000000000000001E-2</v>
      </c>
      <c r="G163" s="2"/>
      <c r="H163" s="23">
        <v>0.1</v>
      </c>
      <c r="I163" s="23"/>
      <c r="J163" s="74">
        <f t="shared" ref="J163:J170" si="3">SUM(E163:I163)</f>
        <v>0.15000000000000002</v>
      </c>
      <c r="K163" s="72">
        <v>0.5</v>
      </c>
      <c r="L163" s="73">
        <f t="shared" ref="L163:L170" si="4">H178</f>
        <v>7.5000000000000011E-2</v>
      </c>
      <c r="M163" s="72">
        <v>0</v>
      </c>
      <c r="N163" s="72">
        <f t="shared" si="2"/>
        <v>9.375E-2</v>
      </c>
      <c r="R163" s="2" t="s">
        <v>126</v>
      </c>
      <c r="S163" s="56">
        <f>P123+P128+S146+S148+S158+S162</f>
        <v>11100000</v>
      </c>
      <c r="T163" s="51">
        <f>+T162+T158+T148+Q128+Q123+T146</f>
        <v>0.49549549549549549</v>
      </c>
      <c r="U163" s="2"/>
    </row>
    <row r="164" spans="4:21" x14ac:dyDescent="0.25">
      <c r="D164" s="6" t="s">
        <v>144</v>
      </c>
      <c r="E164" s="69">
        <f>'ENCUESTAS '!E68</f>
        <v>0.05</v>
      </c>
      <c r="F164" s="69">
        <f>'ENCUESTAS '!E31</f>
        <v>0.05</v>
      </c>
      <c r="G164" s="2"/>
      <c r="H164" s="23">
        <v>0.1</v>
      </c>
      <c r="I164" s="2"/>
      <c r="J164" s="70">
        <f t="shared" si="3"/>
        <v>0.2</v>
      </c>
      <c r="K164" s="72"/>
      <c r="L164" s="73">
        <f t="shared" si="4"/>
        <v>0.125</v>
      </c>
      <c r="M164" s="72">
        <v>0</v>
      </c>
      <c r="N164" s="72">
        <f t="shared" si="2"/>
        <v>0.125</v>
      </c>
    </row>
    <row r="165" spans="4:21" x14ac:dyDescent="0.25">
      <c r="D165" s="6" t="s">
        <v>147</v>
      </c>
      <c r="E165" s="69">
        <f>'ENCUESTAS '!E69</f>
        <v>0.05</v>
      </c>
      <c r="F165" s="69">
        <f>'ENCUESTAS '!E33</f>
        <v>0.05</v>
      </c>
      <c r="G165" s="2"/>
      <c r="H165" s="23">
        <v>0.1</v>
      </c>
      <c r="I165" s="2"/>
      <c r="J165" s="70">
        <f t="shared" si="3"/>
        <v>0.2</v>
      </c>
      <c r="K165" s="72"/>
      <c r="L165" s="73">
        <f t="shared" si="4"/>
        <v>0.125</v>
      </c>
      <c r="M165" s="72">
        <v>0</v>
      </c>
      <c r="N165" s="72">
        <f t="shared" si="2"/>
        <v>9.375E-2</v>
      </c>
    </row>
    <row r="166" spans="4:21" x14ac:dyDescent="0.25">
      <c r="D166" s="6" t="s">
        <v>150</v>
      </c>
      <c r="E166" s="69">
        <f>'ENCUESTAS '!E71</f>
        <v>0.05</v>
      </c>
      <c r="F166" s="69">
        <f>'ENCUESTAS '!E34</f>
        <v>0.05</v>
      </c>
      <c r="G166" s="2"/>
      <c r="H166" s="23">
        <v>0.1</v>
      </c>
      <c r="I166" s="2"/>
      <c r="J166" s="70">
        <f t="shared" si="3"/>
        <v>0.2</v>
      </c>
      <c r="K166" s="72"/>
      <c r="L166" s="73">
        <f t="shared" si="4"/>
        <v>0.1</v>
      </c>
      <c r="M166" s="72">
        <v>0</v>
      </c>
      <c r="N166" s="72">
        <f t="shared" si="2"/>
        <v>0.125</v>
      </c>
    </row>
    <row r="167" spans="4:21" x14ac:dyDescent="0.25">
      <c r="D167" s="6" t="s">
        <v>153</v>
      </c>
      <c r="E167" s="69">
        <v>0.05</v>
      </c>
      <c r="F167" s="69">
        <f>'ENCUESTAS '!E34</f>
        <v>0.05</v>
      </c>
      <c r="G167" s="2"/>
      <c r="H167" s="23">
        <v>0.1</v>
      </c>
      <c r="I167" s="2"/>
      <c r="J167" s="70">
        <f t="shared" si="3"/>
        <v>0.2</v>
      </c>
      <c r="K167" s="72"/>
      <c r="L167" s="73">
        <f t="shared" si="4"/>
        <v>0.15</v>
      </c>
      <c r="M167" s="72">
        <v>0</v>
      </c>
      <c r="N167" s="72">
        <f t="shared" si="2"/>
        <v>8.3333333333333329E-2</v>
      </c>
    </row>
    <row r="168" spans="4:21" x14ac:dyDescent="0.25">
      <c r="D168" s="6" t="s">
        <v>155</v>
      </c>
      <c r="E168" s="69">
        <f>'ENCUESTAS '!E72</f>
        <v>7.4999999999999997E-2</v>
      </c>
      <c r="F168" s="69">
        <f>'ENCUESTAS '!E35</f>
        <v>7.4999999999999997E-2</v>
      </c>
      <c r="G168" s="2"/>
      <c r="H168" s="23">
        <v>0.1</v>
      </c>
      <c r="I168" s="23">
        <v>0.15</v>
      </c>
      <c r="J168" s="75">
        <f t="shared" si="3"/>
        <v>0.4</v>
      </c>
      <c r="K168" s="76"/>
      <c r="L168" s="73">
        <f t="shared" si="4"/>
        <v>0.1</v>
      </c>
      <c r="M168" s="76">
        <v>0</v>
      </c>
      <c r="N168" s="76">
        <f t="shared" si="2"/>
        <v>0.125</v>
      </c>
    </row>
    <row r="169" spans="4:21" x14ac:dyDescent="0.25">
      <c r="D169" s="6" t="s">
        <v>156</v>
      </c>
      <c r="E169" s="24">
        <f>'ENCUESTAS '!E73</f>
        <v>0.1</v>
      </c>
      <c r="F169" s="24">
        <f>'ENCUESTAS '!E36</f>
        <v>0.1</v>
      </c>
      <c r="G169" s="2"/>
      <c r="H169" s="23">
        <v>0.1</v>
      </c>
      <c r="I169" s="23">
        <v>0.1</v>
      </c>
      <c r="J169" s="77">
        <f t="shared" si="3"/>
        <v>0.4</v>
      </c>
      <c r="K169" s="78"/>
      <c r="L169" s="73">
        <f t="shared" si="4"/>
        <v>0.125</v>
      </c>
      <c r="M169" s="76">
        <v>0</v>
      </c>
      <c r="N169" s="76">
        <f t="shared" si="2"/>
        <v>0.10416666666666667</v>
      </c>
    </row>
    <row r="170" spans="4:21" x14ac:dyDescent="0.25">
      <c r="D170" s="6" t="s">
        <v>158</v>
      </c>
      <c r="E170" s="69">
        <f>'ENCUESTAS '!E74</f>
        <v>7.0000000000000007E-2</v>
      </c>
      <c r="F170" s="69">
        <f>'ENCUESTAS '!E37</f>
        <v>7.0000000000000007E-2</v>
      </c>
      <c r="G170" s="2"/>
      <c r="H170" s="2"/>
      <c r="I170" s="23">
        <v>0.75</v>
      </c>
      <c r="J170" s="77">
        <f t="shared" si="3"/>
        <v>0.89</v>
      </c>
      <c r="K170" s="78"/>
      <c r="L170" s="73">
        <f t="shared" si="4"/>
        <v>7.5000000000000011E-2</v>
      </c>
      <c r="M170" s="76">
        <v>0</v>
      </c>
      <c r="N170" s="76">
        <f t="shared" si="2"/>
        <v>0.125</v>
      </c>
    </row>
    <row r="171" spans="4:21" ht="30" x14ac:dyDescent="0.25">
      <c r="D171" s="6" t="s">
        <v>152</v>
      </c>
      <c r="E171" s="23">
        <f>SUM(E162:E170)</f>
        <v>0.49500000000000005</v>
      </c>
      <c r="F171" s="79">
        <f>SUM(F161:F170)</f>
        <v>0.52</v>
      </c>
      <c r="G171" s="2"/>
      <c r="H171" s="23">
        <f>SUM(H163:H169)</f>
        <v>0.7</v>
      </c>
      <c r="I171" s="23">
        <f>SUM(I168:I170)</f>
        <v>1</v>
      </c>
      <c r="J171" s="70">
        <f>SUM(J162:J170)</f>
        <v>2.69</v>
      </c>
      <c r="K171" s="73">
        <f>SUM(K162:K170)</f>
        <v>1</v>
      </c>
      <c r="L171" s="73">
        <f>SUM(L162:L170)</f>
        <v>1</v>
      </c>
      <c r="M171" s="78"/>
      <c r="N171" s="73">
        <f>SUM(N162:N170)</f>
        <v>1</v>
      </c>
    </row>
    <row r="172" spans="4:21" x14ac:dyDescent="0.25">
      <c r="D172" s="80"/>
      <c r="E172" s="8"/>
      <c r="F172" s="81"/>
      <c r="H172" s="8"/>
      <c r="I172" s="8"/>
      <c r="J172" s="74"/>
      <c r="K172" s="8"/>
      <c r="L172" s="8"/>
    </row>
    <row r="173" spans="4:21" x14ac:dyDescent="0.25">
      <c r="D173" s="493" t="s">
        <v>168</v>
      </c>
      <c r="E173" s="493"/>
      <c r="F173" s="493"/>
      <c r="G173" s="493"/>
      <c r="H173" s="493"/>
      <c r="I173" s="493"/>
      <c r="J173" s="74"/>
      <c r="K173" s="8"/>
      <c r="L173" s="8"/>
    </row>
    <row r="174" spans="4:21" x14ac:dyDescent="0.25">
      <c r="D174" s="80"/>
      <c r="E174" s="8"/>
      <c r="F174" s="81"/>
      <c r="H174" s="8"/>
      <c r="I174" s="8"/>
      <c r="J174" s="74"/>
      <c r="K174" s="8"/>
    </row>
    <row r="175" spans="4:21" ht="30" x14ac:dyDescent="0.25">
      <c r="E175" s="465" t="s">
        <v>169</v>
      </c>
      <c r="F175" s="466"/>
      <c r="G175" s="2"/>
      <c r="H175" s="6" t="s">
        <v>162</v>
      </c>
      <c r="I175" s="2" t="s">
        <v>170</v>
      </c>
    </row>
    <row r="176" spans="4:21" ht="30" x14ac:dyDescent="0.25">
      <c r="D176" s="82" t="s">
        <v>171</v>
      </c>
      <c r="E176" s="2" t="s">
        <v>123</v>
      </c>
      <c r="F176" s="2" t="s">
        <v>124</v>
      </c>
      <c r="G176" s="6" t="s">
        <v>172</v>
      </c>
      <c r="H176" s="2"/>
      <c r="I176" s="14">
        <v>250000</v>
      </c>
    </row>
    <row r="177" spans="4:9" x14ac:dyDescent="0.25">
      <c r="D177" s="6" t="s">
        <v>140</v>
      </c>
      <c r="E177" s="23">
        <v>0.1</v>
      </c>
      <c r="F177" s="23">
        <v>0.15</v>
      </c>
      <c r="G177" s="23">
        <f>SUM(E177:F177)</f>
        <v>0.25</v>
      </c>
      <c r="H177" s="23">
        <f>G177/G186</f>
        <v>0.125</v>
      </c>
      <c r="I177" s="15">
        <f>I176*H177</f>
        <v>31250</v>
      </c>
    </row>
    <row r="178" spans="4:9" x14ac:dyDescent="0.25">
      <c r="D178" s="6" t="s">
        <v>142</v>
      </c>
      <c r="E178" s="23">
        <v>0.1</v>
      </c>
      <c r="F178" s="23">
        <v>0.05</v>
      </c>
      <c r="G178" s="24">
        <f>SUM(E178:F178)</f>
        <v>0.15000000000000002</v>
      </c>
      <c r="H178" s="23">
        <f>G178/G186</f>
        <v>7.5000000000000011E-2</v>
      </c>
      <c r="I178" s="15">
        <f>I176*H178</f>
        <v>18750.000000000004</v>
      </c>
    </row>
    <row r="179" spans="4:9" x14ac:dyDescent="0.25">
      <c r="D179" s="6" t="s">
        <v>144</v>
      </c>
      <c r="E179" s="23">
        <v>0.15</v>
      </c>
      <c r="F179" s="23">
        <v>0.1</v>
      </c>
      <c r="G179" s="24">
        <f t="shared" ref="G179:G184" si="5">SUM(E179:F179)</f>
        <v>0.25</v>
      </c>
      <c r="H179" s="23">
        <f>G179/G186</f>
        <v>0.125</v>
      </c>
      <c r="I179" s="15">
        <f>I176*H179</f>
        <v>31250</v>
      </c>
    </row>
    <row r="180" spans="4:9" x14ac:dyDescent="0.25">
      <c r="D180" s="6" t="s">
        <v>147</v>
      </c>
      <c r="E180" s="23">
        <v>0.1</v>
      </c>
      <c r="F180" s="23">
        <v>0.15</v>
      </c>
      <c r="G180" s="24">
        <f t="shared" si="5"/>
        <v>0.25</v>
      </c>
      <c r="H180" s="23">
        <f>G180/G186</f>
        <v>0.125</v>
      </c>
      <c r="I180" s="15">
        <f>I176*H180</f>
        <v>31250</v>
      </c>
    </row>
    <row r="181" spans="4:9" x14ac:dyDescent="0.25">
      <c r="D181" s="6" t="s">
        <v>150</v>
      </c>
      <c r="E181" s="23">
        <v>0.1</v>
      </c>
      <c r="F181" s="23">
        <v>0.1</v>
      </c>
      <c r="G181" s="24">
        <f t="shared" si="5"/>
        <v>0.2</v>
      </c>
      <c r="H181" s="23">
        <f>G181/G186</f>
        <v>0.1</v>
      </c>
      <c r="I181" s="15">
        <f>I176*H181</f>
        <v>25000</v>
      </c>
    </row>
    <row r="182" spans="4:9" x14ac:dyDescent="0.25">
      <c r="D182" s="6" t="s">
        <v>153</v>
      </c>
      <c r="E182" s="23">
        <v>0.15</v>
      </c>
      <c r="F182" s="23">
        <v>0.15</v>
      </c>
      <c r="G182" s="24">
        <f t="shared" si="5"/>
        <v>0.3</v>
      </c>
      <c r="H182" s="23">
        <f>G182/G186</f>
        <v>0.15</v>
      </c>
      <c r="I182" s="15">
        <f>I176*H182</f>
        <v>37500</v>
      </c>
    </row>
    <row r="183" spans="4:9" x14ac:dyDescent="0.25">
      <c r="D183" s="6" t="s">
        <v>155</v>
      </c>
      <c r="E183" s="23">
        <v>0.1</v>
      </c>
      <c r="F183" s="23">
        <v>0.1</v>
      </c>
      <c r="G183" s="24">
        <f t="shared" si="5"/>
        <v>0.2</v>
      </c>
      <c r="H183" s="23">
        <f>G183/G186</f>
        <v>0.1</v>
      </c>
      <c r="I183" s="15">
        <f>I176*H183</f>
        <v>25000</v>
      </c>
    </row>
    <row r="184" spans="4:9" x14ac:dyDescent="0.25">
      <c r="D184" s="6" t="s">
        <v>156</v>
      </c>
      <c r="E184" s="23">
        <v>0.1</v>
      </c>
      <c r="F184" s="23">
        <v>0.15</v>
      </c>
      <c r="G184" s="24">
        <f t="shared" si="5"/>
        <v>0.25</v>
      </c>
      <c r="H184" s="23">
        <f>G184/G186</f>
        <v>0.125</v>
      </c>
      <c r="I184" s="15">
        <f>I176*H184</f>
        <v>31250</v>
      </c>
    </row>
    <row r="185" spans="4:9" x14ac:dyDescent="0.25">
      <c r="D185" s="6" t="s">
        <v>158</v>
      </c>
      <c r="E185" s="23">
        <v>0.1</v>
      </c>
      <c r="F185" s="23">
        <v>0.05</v>
      </c>
      <c r="G185" s="24">
        <f>SUM(E185:F185)</f>
        <v>0.15000000000000002</v>
      </c>
      <c r="H185" s="23">
        <f>G185/G186</f>
        <v>7.5000000000000011E-2</v>
      </c>
      <c r="I185" s="15">
        <f>I176*H185</f>
        <v>18750.000000000004</v>
      </c>
    </row>
    <row r="186" spans="4:9" x14ac:dyDescent="0.25">
      <c r="D186" s="6" t="s">
        <v>131</v>
      </c>
      <c r="E186" s="23">
        <f>SUM(E177:E185)</f>
        <v>0.99999999999999989</v>
      </c>
      <c r="F186" s="23">
        <f>SUM(F177:F185)</f>
        <v>1</v>
      </c>
      <c r="G186" s="23">
        <f>SUM(G177:G185)</f>
        <v>2</v>
      </c>
      <c r="H186" s="23">
        <f>SUM(H177:H185)</f>
        <v>1</v>
      </c>
      <c r="I186" s="15">
        <f>SUM(I177:I185)</f>
        <v>250000</v>
      </c>
    </row>
    <row r="188" spans="4:9" ht="30" x14ac:dyDescent="0.25">
      <c r="E188" s="83" t="s">
        <v>169</v>
      </c>
      <c r="F188" s="494" t="s">
        <v>172</v>
      </c>
      <c r="G188" s="6" t="s">
        <v>162</v>
      </c>
      <c r="H188" s="6" t="s">
        <v>170</v>
      </c>
    </row>
    <row r="189" spans="4:9" ht="30" x14ac:dyDescent="0.25">
      <c r="D189" s="84" t="s">
        <v>173</v>
      </c>
      <c r="E189" s="85" t="s">
        <v>174</v>
      </c>
      <c r="F189" s="494"/>
      <c r="G189" s="2"/>
      <c r="H189" s="14">
        <v>150000</v>
      </c>
    </row>
    <row r="190" spans="4:9" ht="30" x14ac:dyDescent="0.25">
      <c r="D190" s="3" t="s">
        <v>145</v>
      </c>
      <c r="E190" s="23">
        <v>0.8</v>
      </c>
      <c r="F190" s="23">
        <v>0.8</v>
      </c>
      <c r="G190" s="23">
        <f>F190/F192</f>
        <v>0.8</v>
      </c>
      <c r="H190" s="15">
        <f>H189*G190</f>
        <v>120000</v>
      </c>
    </row>
    <row r="191" spans="4:9" x14ac:dyDescent="0.25">
      <c r="D191" s="3" t="s">
        <v>149</v>
      </c>
      <c r="E191" s="23">
        <v>0.2</v>
      </c>
      <c r="F191" s="23">
        <v>0.2</v>
      </c>
      <c r="G191" s="23">
        <f>F191/F192</f>
        <v>0.2</v>
      </c>
      <c r="H191" s="15">
        <f>H189*G191</f>
        <v>30000</v>
      </c>
    </row>
    <row r="192" spans="4:9" x14ac:dyDescent="0.25">
      <c r="D192" s="2" t="s">
        <v>175</v>
      </c>
      <c r="E192" s="23">
        <f>SUM(E190:E191)</f>
        <v>1</v>
      </c>
      <c r="F192" s="23">
        <f>SUM(F190:F191)</f>
        <v>1</v>
      </c>
      <c r="G192" s="23">
        <f>SUM(G190:G191)</f>
        <v>1</v>
      </c>
      <c r="H192" s="15">
        <f>SUM(H190:H191)</f>
        <v>150000</v>
      </c>
    </row>
    <row r="193" spans="4:9" x14ac:dyDescent="0.25">
      <c r="E193" s="8"/>
      <c r="F193" s="8"/>
      <c r="G193" s="8"/>
      <c r="H193" s="12"/>
    </row>
    <row r="194" spans="4:9" ht="30" x14ac:dyDescent="0.25">
      <c r="E194" s="83" t="s">
        <v>169</v>
      </c>
      <c r="F194" s="494" t="s">
        <v>172</v>
      </c>
      <c r="G194" s="6" t="s">
        <v>162</v>
      </c>
      <c r="H194" s="6" t="s">
        <v>170</v>
      </c>
    </row>
    <row r="195" spans="4:9" ht="30" x14ac:dyDescent="0.25">
      <c r="D195" s="86" t="s">
        <v>176</v>
      </c>
      <c r="E195" s="85" t="s">
        <v>10</v>
      </c>
      <c r="F195" s="494"/>
      <c r="G195" s="2"/>
      <c r="H195" s="14">
        <v>100000</v>
      </c>
    </row>
    <row r="196" spans="4:9" ht="30" x14ac:dyDescent="0.25">
      <c r="D196" s="3" t="s">
        <v>177</v>
      </c>
      <c r="E196" s="23">
        <v>1</v>
      </c>
      <c r="F196" s="23">
        <v>1</v>
      </c>
      <c r="G196" s="23">
        <f>F196/F197</f>
        <v>1</v>
      </c>
      <c r="H196" s="15">
        <f>H195*G196</f>
        <v>100000</v>
      </c>
    </row>
    <row r="197" spans="4:9" x14ac:dyDescent="0.25">
      <c r="D197" s="2" t="s">
        <v>175</v>
      </c>
      <c r="E197" s="23">
        <f>SUM(E196:E196)</f>
        <v>1</v>
      </c>
      <c r="F197" s="23">
        <f>SUM(F196:F196)</f>
        <v>1</v>
      </c>
      <c r="G197" s="23">
        <f>SUM(G196:G196)</f>
        <v>1</v>
      </c>
      <c r="H197" s="15">
        <f>SUM(H196:H196)</f>
        <v>100000</v>
      </c>
    </row>
    <row r="198" spans="4:9" x14ac:dyDescent="0.25">
      <c r="E198" s="8"/>
      <c r="F198" s="8"/>
      <c r="G198" s="8"/>
      <c r="H198" s="12"/>
    </row>
    <row r="199" spans="4:9" x14ac:dyDescent="0.25">
      <c r="D199" s="495" t="s">
        <v>178</v>
      </c>
      <c r="E199" s="495"/>
      <c r="F199" s="495"/>
      <c r="G199" s="495"/>
      <c r="H199" s="495"/>
      <c r="I199" s="495"/>
    </row>
    <row r="200" spans="4:9" x14ac:dyDescent="0.25">
      <c r="E200" s="8"/>
      <c r="F200" s="8"/>
      <c r="G200" s="8"/>
      <c r="H200" s="12"/>
    </row>
    <row r="201" spans="4:9" x14ac:dyDescent="0.25">
      <c r="E201" s="485" t="s">
        <v>169</v>
      </c>
      <c r="F201" s="496"/>
      <c r="G201" s="2"/>
      <c r="H201" s="4" t="s">
        <v>179</v>
      </c>
      <c r="I201" s="5" t="s">
        <v>170</v>
      </c>
    </row>
    <row r="202" spans="4:9" ht="30" x14ac:dyDescent="0.25">
      <c r="D202" s="88" t="s">
        <v>171</v>
      </c>
      <c r="E202" s="5" t="s">
        <v>123</v>
      </c>
      <c r="F202" s="5" t="s">
        <v>124</v>
      </c>
      <c r="G202" s="4" t="s">
        <v>172</v>
      </c>
      <c r="H202" s="5"/>
      <c r="I202" s="25">
        <v>2000000</v>
      </c>
    </row>
    <row r="203" spans="4:9" x14ac:dyDescent="0.25">
      <c r="D203" s="6" t="s">
        <v>140</v>
      </c>
      <c r="E203" s="23">
        <f>'ENCUESTAS '!O29</f>
        <v>0.125</v>
      </c>
      <c r="F203" s="23">
        <f>'ENCUESTAS '!O66</f>
        <v>0.125</v>
      </c>
      <c r="G203" s="23">
        <f>SUM(E203:F203)</f>
        <v>0.25</v>
      </c>
      <c r="H203" s="23">
        <f>G203/G212</f>
        <v>0.125</v>
      </c>
      <c r="I203" s="15">
        <f>I202*H203</f>
        <v>250000</v>
      </c>
    </row>
    <row r="204" spans="4:9" x14ac:dyDescent="0.25">
      <c r="D204" s="6" t="s">
        <v>142</v>
      </c>
      <c r="E204" s="23">
        <f>'ENCUESTAS '!O30</f>
        <v>9.375E-2</v>
      </c>
      <c r="F204" s="23">
        <f>'ENCUESTAS '!O67</f>
        <v>9.375E-2</v>
      </c>
      <c r="G204" s="24">
        <f>SUM(E204:F204)</f>
        <v>0.1875</v>
      </c>
      <c r="H204" s="23">
        <f>G204/G212</f>
        <v>9.375E-2</v>
      </c>
      <c r="I204" s="15">
        <f>I202*H204</f>
        <v>187500</v>
      </c>
    </row>
    <row r="205" spans="4:9" x14ac:dyDescent="0.25">
      <c r="D205" s="6" t="s">
        <v>144</v>
      </c>
      <c r="E205" s="23">
        <f>'ENCUESTAS '!O31</f>
        <v>0.125</v>
      </c>
      <c r="F205" s="23">
        <f>'ENCUESTAS '!O68</f>
        <v>0.125</v>
      </c>
      <c r="G205" s="24">
        <f t="shared" ref="G205:G210" si="6">SUM(E205:F205)</f>
        <v>0.25</v>
      </c>
      <c r="H205" s="23">
        <f>G205/G212</f>
        <v>0.125</v>
      </c>
      <c r="I205" s="15">
        <f>I202*H205</f>
        <v>250000</v>
      </c>
    </row>
    <row r="206" spans="4:9" x14ac:dyDescent="0.25">
      <c r="D206" s="6" t="s">
        <v>147</v>
      </c>
      <c r="E206" s="23">
        <f>'ENCUESTAS '!O32</f>
        <v>9.375E-2</v>
      </c>
      <c r="F206" s="23">
        <f>'ENCUESTAS '!O69</f>
        <v>9.375E-2</v>
      </c>
      <c r="G206" s="24">
        <f t="shared" si="6"/>
        <v>0.1875</v>
      </c>
      <c r="H206" s="23">
        <f>G206/G212</f>
        <v>9.375E-2</v>
      </c>
      <c r="I206" s="15">
        <f>I202*H206</f>
        <v>187500</v>
      </c>
    </row>
    <row r="207" spans="4:9" x14ac:dyDescent="0.25">
      <c r="D207" s="6" t="s">
        <v>150</v>
      </c>
      <c r="E207" s="23">
        <f>'ENCUESTAS '!O33</f>
        <v>0.125</v>
      </c>
      <c r="F207" s="23">
        <f>'ENCUESTAS '!O70</f>
        <v>0.125</v>
      </c>
      <c r="G207" s="24">
        <f t="shared" si="6"/>
        <v>0.25</v>
      </c>
      <c r="H207" s="23">
        <f>G207/G212</f>
        <v>0.125</v>
      </c>
      <c r="I207" s="15">
        <f>I202*H207</f>
        <v>250000</v>
      </c>
    </row>
    <row r="208" spans="4:9" x14ac:dyDescent="0.25">
      <c r="D208" s="6" t="s">
        <v>153</v>
      </c>
      <c r="E208" s="23">
        <f>'ENCUESTAS '!O34</f>
        <v>8.3333333333333329E-2</v>
      </c>
      <c r="F208" s="23">
        <f>'ENCUESTAS '!O71</f>
        <v>8.3333333333333329E-2</v>
      </c>
      <c r="G208" s="24">
        <f t="shared" si="6"/>
        <v>0.16666666666666666</v>
      </c>
      <c r="H208" s="23">
        <f>G208/G212</f>
        <v>8.3333333333333329E-2</v>
      </c>
      <c r="I208" s="15">
        <f>I202*H208</f>
        <v>166666.66666666666</v>
      </c>
    </row>
    <row r="209" spans="4:9" x14ac:dyDescent="0.25">
      <c r="D209" s="6" t="s">
        <v>155</v>
      </c>
      <c r="E209" s="23">
        <f>'ENCUESTAS '!O35</f>
        <v>0.125</v>
      </c>
      <c r="F209" s="23">
        <f>'ENCUESTAS '!O72</f>
        <v>0.125</v>
      </c>
      <c r="G209" s="24">
        <f t="shared" si="6"/>
        <v>0.25</v>
      </c>
      <c r="H209" s="23">
        <f>G209/G212</f>
        <v>0.125</v>
      </c>
      <c r="I209" s="15">
        <f>I202*H209</f>
        <v>250000</v>
      </c>
    </row>
    <row r="210" spans="4:9" x14ac:dyDescent="0.25">
      <c r="D210" s="6" t="s">
        <v>156</v>
      </c>
      <c r="E210" s="23">
        <f>'ENCUESTAS '!O36</f>
        <v>0.10416666666666667</v>
      </c>
      <c r="F210" s="23">
        <f>'ENCUESTAS '!O73</f>
        <v>0.10416666666666667</v>
      </c>
      <c r="G210" s="24">
        <f t="shared" si="6"/>
        <v>0.20833333333333334</v>
      </c>
      <c r="H210" s="23">
        <f>G210/G212</f>
        <v>0.10416666666666667</v>
      </c>
      <c r="I210" s="15">
        <f>I202*H210</f>
        <v>208333.33333333334</v>
      </c>
    </row>
    <row r="211" spans="4:9" x14ac:dyDescent="0.25">
      <c r="D211" s="6" t="s">
        <v>158</v>
      </c>
      <c r="E211" s="23">
        <f>'ENCUESTAS '!O37</f>
        <v>0.125</v>
      </c>
      <c r="F211" s="23">
        <f>'ENCUESTAS '!O74</f>
        <v>0.125</v>
      </c>
      <c r="G211" s="24">
        <f>SUM(E211:F211)</f>
        <v>0.25</v>
      </c>
      <c r="H211" s="23">
        <f>G211/G212</f>
        <v>0.125</v>
      </c>
      <c r="I211" s="15">
        <f>I202*H211</f>
        <v>250000</v>
      </c>
    </row>
    <row r="212" spans="4:9" x14ac:dyDescent="0.25">
      <c r="D212" s="6" t="s">
        <v>131</v>
      </c>
      <c r="E212" s="23">
        <f>SUM(E203:E211)</f>
        <v>1</v>
      </c>
      <c r="F212" s="23">
        <f>SUM(F203:F211)</f>
        <v>1</v>
      </c>
      <c r="G212" s="23">
        <f>SUM(G203:G211)</f>
        <v>2</v>
      </c>
      <c r="H212" s="23">
        <f>SUM(H203:H211)</f>
        <v>1</v>
      </c>
      <c r="I212" s="15">
        <f>SUM(I203:I211)</f>
        <v>2000000</v>
      </c>
    </row>
    <row r="213" spans="4:9" x14ac:dyDescent="0.25">
      <c r="D213" s="80"/>
      <c r="E213" s="8"/>
      <c r="F213" s="8"/>
      <c r="G213" s="8"/>
      <c r="H213" s="8"/>
      <c r="I213" s="12"/>
    </row>
    <row r="214" spans="4:9" x14ac:dyDescent="0.25">
      <c r="D214" s="497" t="s">
        <v>180</v>
      </c>
      <c r="E214" s="497"/>
      <c r="F214" s="497"/>
      <c r="G214" s="497"/>
      <c r="H214" s="497"/>
      <c r="I214" s="89"/>
    </row>
    <row r="215" spans="4:9" x14ac:dyDescent="0.25">
      <c r="D215" s="80"/>
      <c r="E215" s="8"/>
      <c r="F215" s="8"/>
      <c r="G215" s="8"/>
      <c r="H215" s="8"/>
      <c r="I215" s="12"/>
    </row>
    <row r="216" spans="4:9" ht="30" x14ac:dyDescent="0.25">
      <c r="E216" s="90" t="s">
        <v>169</v>
      </c>
      <c r="F216" s="487" t="s">
        <v>172</v>
      </c>
      <c r="G216" s="4" t="s">
        <v>181</v>
      </c>
      <c r="H216" s="4" t="s">
        <v>170</v>
      </c>
      <c r="I216" s="12"/>
    </row>
    <row r="217" spans="4:9" ht="30" x14ac:dyDescent="0.25">
      <c r="D217" s="91" t="s">
        <v>173</v>
      </c>
      <c r="E217" s="92" t="s">
        <v>174</v>
      </c>
      <c r="F217" s="487"/>
      <c r="G217" s="5"/>
      <c r="H217" s="25">
        <v>1500000</v>
      </c>
      <c r="I217" s="12"/>
    </row>
    <row r="218" spans="4:9" ht="30" x14ac:dyDescent="0.25">
      <c r="D218" s="3" t="s">
        <v>145</v>
      </c>
      <c r="E218" s="24">
        <v>0.7</v>
      </c>
      <c r="F218" s="23">
        <f>'ENCUESTAS '!O51</f>
        <v>0.70416666666666672</v>
      </c>
      <c r="G218" s="23">
        <f>F218/F220</f>
        <v>0.70416666666666672</v>
      </c>
      <c r="H218" s="15">
        <f>H217*G218</f>
        <v>1056250</v>
      </c>
      <c r="I218" s="12"/>
    </row>
    <row r="219" spans="4:9" x14ac:dyDescent="0.25">
      <c r="D219" s="3" t="s">
        <v>149</v>
      </c>
      <c r="E219" s="23">
        <v>0.3</v>
      </c>
      <c r="F219" s="23">
        <f>'ENCUESTAS '!O52</f>
        <v>0.29583333333333334</v>
      </c>
      <c r="G219" s="23">
        <f>F219/F220</f>
        <v>0.29583333333333334</v>
      </c>
      <c r="H219" s="15">
        <f>H217*G219</f>
        <v>443750</v>
      </c>
      <c r="I219" s="12"/>
    </row>
    <row r="220" spans="4:9" x14ac:dyDescent="0.25">
      <c r="D220" s="2" t="s">
        <v>175</v>
      </c>
      <c r="E220" s="23">
        <f>SUM(E218:E219)</f>
        <v>1</v>
      </c>
      <c r="F220" s="23">
        <f>SUM(F218:F219)</f>
        <v>1</v>
      </c>
      <c r="G220" s="23">
        <f>SUM(G218:G219)</f>
        <v>1</v>
      </c>
      <c r="H220" s="15">
        <f>SUM(H218:H219)</f>
        <v>1500000</v>
      </c>
      <c r="I220" s="12"/>
    </row>
    <row r="221" spans="4:9" x14ac:dyDescent="0.25">
      <c r="E221" s="8"/>
      <c r="F221" s="8"/>
      <c r="G221" s="8"/>
      <c r="H221" s="12"/>
      <c r="I221" s="12"/>
    </row>
    <row r="222" spans="4:9" x14ac:dyDescent="0.25">
      <c r="D222" s="502" t="s">
        <v>182</v>
      </c>
      <c r="E222" s="502"/>
      <c r="F222" s="502"/>
      <c r="G222" s="502"/>
      <c r="H222" s="502"/>
      <c r="I222" s="12"/>
    </row>
    <row r="223" spans="4:9" x14ac:dyDescent="0.25">
      <c r="E223" s="8"/>
      <c r="F223" s="8"/>
      <c r="G223" s="8"/>
      <c r="H223" s="12"/>
      <c r="I223" s="12"/>
    </row>
    <row r="224" spans="4:9" ht="45" x14ac:dyDescent="0.25">
      <c r="E224" s="90" t="s">
        <v>169</v>
      </c>
      <c r="F224" s="487" t="s">
        <v>172</v>
      </c>
      <c r="G224" s="4" t="s">
        <v>183</v>
      </c>
      <c r="H224" s="4" t="s">
        <v>170</v>
      </c>
      <c r="I224" s="12"/>
    </row>
    <row r="225" spans="4:9" ht="30" x14ac:dyDescent="0.25">
      <c r="D225" s="93" t="s">
        <v>176</v>
      </c>
      <c r="E225" s="92" t="s">
        <v>125</v>
      </c>
      <c r="F225" s="487"/>
      <c r="G225" s="5"/>
      <c r="H225" s="25">
        <v>800000</v>
      </c>
      <c r="I225" s="12"/>
    </row>
    <row r="226" spans="4:9" ht="30" x14ac:dyDescent="0.25">
      <c r="D226" s="3" t="s">
        <v>177</v>
      </c>
      <c r="E226" s="23">
        <v>1</v>
      </c>
      <c r="F226" s="23">
        <f>'ENCUESTAS '!O13</f>
        <v>1</v>
      </c>
      <c r="G226" s="23">
        <f>F226/F227</f>
        <v>1</v>
      </c>
      <c r="H226" s="15">
        <f>H225*G226</f>
        <v>800000</v>
      </c>
      <c r="I226" s="12"/>
    </row>
    <row r="227" spans="4:9" x14ac:dyDescent="0.25">
      <c r="D227" s="2" t="s">
        <v>175</v>
      </c>
      <c r="E227" s="23">
        <f>SUM(E226:E226)</f>
        <v>1</v>
      </c>
      <c r="F227" s="23">
        <f>SUM(F226:F226)</f>
        <v>1</v>
      </c>
      <c r="G227" s="23">
        <f>SUM(G226:G226)</f>
        <v>1</v>
      </c>
      <c r="H227" s="15">
        <f>SUM(H226:H226)</f>
        <v>800000</v>
      </c>
    </row>
    <row r="228" spans="4:9" x14ac:dyDescent="0.25">
      <c r="E228" s="8"/>
      <c r="F228" s="8"/>
      <c r="G228" s="8"/>
      <c r="H228" s="12"/>
    </row>
    <row r="229" spans="4:9" x14ac:dyDescent="0.25">
      <c r="E229" s="8"/>
      <c r="F229" s="8"/>
      <c r="G229" s="8"/>
      <c r="H229" s="12"/>
    </row>
    <row r="230" spans="4:9" x14ac:dyDescent="0.25">
      <c r="D230" s="472" t="s">
        <v>184</v>
      </c>
      <c r="E230" s="472"/>
      <c r="F230" s="472"/>
      <c r="G230" s="472"/>
      <c r="H230" s="472"/>
      <c r="I230" s="472"/>
    </row>
    <row r="231" spans="4:9" x14ac:dyDescent="0.25">
      <c r="D231" s="477" t="s">
        <v>134</v>
      </c>
      <c r="E231" s="55" t="s">
        <v>135</v>
      </c>
      <c r="F231" s="503" t="s">
        <v>136</v>
      </c>
      <c r="G231" s="503"/>
      <c r="H231" s="503"/>
      <c r="I231" s="503"/>
    </row>
    <row r="232" spans="4:9" ht="106.9" customHeight="1" x14ac:dyDescent="0.25">
      <c r="D232" s="478"/>
      <c r="E232" s="55" t="s">
        <v>125</v>
      </c>
      <c r="F232" s="58" t="s">
        <v>137</v>
      </c>
      <c r="G232" s="58" t="s">
        <v>138</v>
      </c>
      <c r="H232" s="58" t="s">
        <v>139</v>
      </c>
      <c r="I232" s="58" t="s">
        <v>185</v>
      </c>
    </row>
    <row r="233" spans="4:9" x14ac:dyDescent="0.25">
      <c r="D233" s="6"/>
      <c r="E233" s="14">
        <v>500000</v>
      </c>
      <c r="F233" s="14"/>
      <c r="G233" s="14"/>
      <c r="H233" s="14"/>
      <c r="I233" s="14"/>
    </row>
    <row r="234" spans="4:9" x14ac:dyDescent="0.25">
      <c r="D234" s="6"/>
      <c r="E234" s="23">
        <v>1</v>
      </c>
      <c r="F234" s="2"/>
      <c r="G234" s="2"/>
      <c r="H234" s="2"/>
      <c r="I234" s="2"/>
    </row>
    <row r="235" spans="4:9" ht="30" x14ac:dyDescent="0.25">
      <c r="D235" s="3" t="s">
        <v>177</v>
      </c>
      <c r="E235" s="59">
        <v>1</v>
      </c>
      <c r="F235" s="19"/>
      <c r="G235" s="19"/>
      <c r="H235" s="70">
        <v>0.1</v>
      </c>
      <c r="I235" s="23">
        <v>1</v>
      </c>
    </row>
    <row r="236" spans="4:9" ht="30" x14ac:dyDescent="0.25">
      <c r="D236" s="6" t="s">
        <v>152</v>
      </c>
      <c r="E236" s="23">
        <v>1</v>
      </c>
      <c r="F236" s="2"/>
      <c r="G236" s="2"/>
      <c r="H236" s="2"/>
      <c r="I236" s="2"/>
    </row>
    <row r="239" spans="4:9" x14ac:dyDescent="0.25">
      <c r="D239" s="2"/>
      <c r="E239" s="4" t="s">
        <v>186</v>
      </c>
      <c r="F239" s="4" t="s">
        <v>76</v>
      </c>
      <c r="G239" s="4" t="s">
        <v>80</v>
      </c>
      <c r="H239" s="4" t="s">
        <v>53</v>
      </c>
    </row>
    <row r="240" spans="4:9" x14ac:dyDescent="0.25">
      <c r="D240" s="6" t="s">
        <v>187</v>
      </c>
      <c r="E240" s="14" t="str">
        <f>E105</f>
        <v>7200 UND</v>
      </c>
      <c r="F240" s="14" t="str">
        <f>F105</f>
        <v>3467 UND</v>
      </c>
      <c r="G240" s="14" t="str">
        <f>G105</f>
        <v>2000 UND</v>
      </c>
      <c r="H240" s="14">
        <f>H105</f>
        <v>100</v>
      </c>
    </row>
    <row r="241" spans="4:13" ht="27.6" customHeight="1" x14ac:dyDescent="0.25">
      <c r="D241" s="6" t="s">
        <v>188</v>
      </c>
      <c r="E241" s="94" t="s">
        <v>189</v>
      </c>
      <c r="F241" s="42" t="s">
        <v>190</v>
      </c>
      <c r="G241" s="42" t="s">
        <v>191</v>
      </c>
      <c r="H241" s="42" t="s">
        <v>190</v>
      </c>
    </row>
    <row r="242" spans="4:13" ht="30" x14ac:dyDescent="0.25">
      <c r="D242" s="95" t="s">
        <v>192</v>
      </c>
      <c r="E242" s="96" t="s">
        <v>190</v>
      </c>
      <c r="F242" s="96" t="s">
        <v>191</v>
      </c>
      <c r="G242" s="96" t="s">
        <v>191</v>
      </c>
      <c r="H242" s="96" t="s">
        <v>193</v>
      </c>
    </row>
    <row r="243" spans="4:13" x14ac:dyDescent="0.25">
      <c r="D243" s="6" t="s">
        <v>194</v>
      </c>
      <c r="E243" s="42" t="s">
        <v>195</v>
      </c>
      <c r="F243" s="42" t="s">
        <v>190</v>
      </c>
      <c r="G243" s="42" t="s">
        <v>196</v>
      </c>
      <c r="H243" s="42" t="s">
        <v>190</v>
      </c>
    </row>
    <row r="244" spans="4:13" x14ac:dyDescent="0.25">
      <c r="D244" s="6" t="s">
        <v>197</v>
      </c>
      <c r="E244" s="2">
        <v>6500</v>
      </c>
      <c r="F244" s="2">
        <v>3200</v>
      </c>
      <c r="G244" s="2">
        <v>1700</v>
      </c>
      <c r="H244" s="2">
        <v>18</v>
      </c>
    </row>
    <row r="245" spans="4:13" x14ac:dyDescent="0.25">
      <c r="D245" s="6" t="s">
        <v>198</v>
      </c>
      <c r="E245" s="14">
        <v>6300</v>
      </c>
      <c r="F245" s="14">
        <v>3200</v>
      </c>
      <c r="G245" s="14">
        <v>1700</v>
      </c>
      <c r="H245" s="14">
        <v>15</v>
      </c>
    </row>
    <row r="246" spans="4:13" x14ac:dyDescent="0.25">
      <c r="D246" s="6" t="s">
        <v>199</v>
      </c>
      <c r="E246" s="2" t="s">
        <v>190</v>
      </c>
      <c r="F246" s="2" t="s">
        <v>196</v>
      </c>
      <c r="G246" s="2" t="s">
        <v>200</v>
      </c>
      <c r="H246" s="2" t="s">
        <v>191</v>
      </c>
    </row>
    <row r="247" spans="4:13" x14ac:dyDescent="0.25">
      <c r="D247" s="6" t="s">
        <v>201</v>
      </c>
      <c r="E247" s="42">
        <v>800</v>
      </c>
      <c r="F247" s="42">
        <v>700</v>
      </c>
      <c r="G247" s="42">
        <v>700</v>
      </c>
      <c r="H247" s="42">
        <v>68800</v>
      </c>
    </row>
    <row r="248" spans="4:13" x14ac:dyDescent="0.25">
      <c r="D248" s="6" t="s">
        <v>202</v>
      </c>
      <c r="E248" s="2">
        <v>2300</v>
      </c>
      <c r="F248" s="2">
        <v>3200</v>
      </c>
      <c r="G248" s="2">
        <v>1700</v>
      </c>
      <c r="H248" s="2">
        <v>15</v>
      </c>
    </row>
    <row r="249" spans="4:13" x14ac:dyDescent="0.25">
      <c r="D249" s="6" t="s">
        <v>203</v>
      </c>
      <c r="E249" s="14" t="str">
        <f>E240</f>
        <v>7200 UND</v>
      </c>
      <c r="F249" s="14" t="str">
        <f>F240</f>
        <v>3467 UND</v>
      </c>
      <c r="G249" s="14" t="str">
        <f>G240</f>
        <v>2000 UND</v>
      </c>
      <c r="H249" s="14">
        <f>H240</f>
        <v>100</v>
      </c>
    </row>
    <row r="252" spans="4:13" x14ac:dyDescent="0.25">
      <c r="D252" s="2"/>
      <c r="E252" s="4" t="s">
        <v>44</v>
      </c>
      <c r="F252" s="2" t="s">
        <v>66</v>
      </c>
      <c r="G252" s="4" t="s">
        <v>76</v>
      </c>
      <c r="H252" s="2" t="s">
        <v>66</v>
      </c>
      <c r="I252" s="4" t="s">
        <v>80</v>
      </c>
      <c r="J252" s="2" t="s">
        <v>66</v>
      </c>
      <c r="K252" s="4" t="s">
        <v>53</v>
      </c>
      <c r="L252" s="2" t="s">
        <v>66</v>
      </c>
      <c r="M252" s="5" t="s">
        <v>35</v>
      </c>
    </row>
    <row r="253" spans="4:13" x14ac:dyDescent="0.25">
      <c r="D253" s="6" t="s">
        <v>187</v>
      </c>
      <c r="E253" s="14" t="str">
        <f>E240</f>
        <v>7200 UND</v>
      </c>
      <c r="F253" s="24">
        <f>7200/M253</f>
        <v>0.56742060052013554</v>
      </c>
      <c r="G253" s="14" t="str">
        <f>F240</f>
        <v>3467 UND</v>
      </c>
      <c r="H253" s="24">
        <f>3467/M253</f>
        <v>0.27322878083379304</v>
      </c>
      <c r="I253" s="14" t="str">
        <f>G240</f>
        <v>2000 UND</v>
      </c>
      <c r="J253" s="24">
        <f>2000/M253</f>
        <v>0.15761683347781544</v>
      </c>
      <c r="K253" s="56">
        <f>H240</f>
        <v>100</v>
      </c>
      <c r="L253" s="24">
        <f>K253/M253</f>
        <v>7.8808416738907709E-3</v>
      </c>
      <c r="M253" s="2">
        <f>7200+3467+2000+22</f>
        <v>12689</v>
      </c>
    </row>
    <row r="254" spans="4:13" x14ac:dyDescent="0.25">
      <c r="D254" s="6" t="s">
        <v>204</v>
      </c>
      <c r="E254" s="94">
        <v>200</v>
      </c>
      <c r="F254" s="24">
        <f>E254/M254</f>
        <v>0.22857142857142856</v>
      </c>
      <c r="G254" s="42">
        <v>180</v>
      </c>
      <c r="H254" s="24">
        <f>G254/M254</f>
        <v>0.20571428571428571</v>
      </c>
      <c r="I254" s="42">
        <v>300</v>
      </c>
      <c r="J254" s="24">
        <f>I254/M254</f>
        <v>0.34285714285714286</v>
      </c>
      <c r="K254" s="194">
        <v>195</v>
      </c>
      <c r="L254" s="24">
        <f>K254/M254</f>
        <v>0.22285714285714286</v>
      </c>
      <c r="M254" s="2">
        <f>200+180+300+195</f>
        <v>875</v>
      </c>
    </row>
    <row r="255" spans="4:13" x14ac:dyDescent="0.25">
      <c r="D255" s="95" t="s">
        <v>205</v>
      </c>
      <c r="E255" s="96">
        <v>100</v>
      </c>
      <c r="F255" s="97">
        <v>0.2</v>
      </c>
      <c r="G255" s="96">
        <v>120</v>
      </c>
      <c r="H255" s="97">
        <v>0.24</v>
      </c>
      <c r="I255" s="96">
        <v>150</v>
      </c>
      <c r="J255" s="97">
        <v>0.3</v>
      </c>
      <c r="K255" s="195">
        <v>130</v>
      </c>
      <c r="L255" s="197">
        <f>K255/M255</f>
        <v>0.26</v>
      </c>
      <c r="M255" s="195">
        <f>E255+G255+I255+K255</f>
        <v>500</v>
      </c>
    </row>
    <row r="256" spans="4:13" x14ac:dyDescent="0.25">
      <c r="D256" s="6" t="s">
        <v>194</v>
      </c>
      <c r="E256" s="42">
        <v>50</v>
      </c>
      <c r="F256" s="24">
        <v>0.33</v>
      </c>
      <c r="G256" s="42">
        <v>30</v>
      </c>
      <c r="H256" s="24">
        <v>0.2</v>
      </c>
      <c r="I256" s="42">
        <v>40</v>
      </c>
      <c r="J256" s="24">
        <v>0.27</v>
      </c>
      <c r="K256" s="194">
        <v>30</v>
      </c>
      <c r="L256" s="24">
        <f t="shared" ref="L256:L262" si="7">K256/M256</f>
        <v>0.2</v>
      </c>
      <c r="M256" s="2">
        <f>50+30+40+30</f>
        <v>150</v>
      </c>
    </row>
    <row r="257" spans="1:13" x14ac:dyDescent="0.25">
      <c r="A257">
        <v>10</v>
      </c>
      <c r="D257" s="6" t="s">
        <v>197</v>
      </c>
      <c r="E257" s="2">
        <v>500</v>
      </c>
      <c r="F257" s="24">
        <f>E257/M257</f>
        <v>0.27472527472527475</v>
      </c>
      <c r="G257" s="2">
        <v>700</v>
      </c>
      <c r="H257" s="24">
        <f>G257/M257</f>
        <v>0.38461538461538464</v>
      </c>
      <c r="I257" s="2">
        <v>600</v>
      </c>
      <c r="J257" s="24">
        <v>0.33</v>
      </c>
      <c r="K257" s="85">
        <v>20</v>
      </c>
      <c r="L257" s="24">
        <f t="shared" si="7"/>
        <v>1.098901098901099E-2</v>
      </c>
      <c r="M257" s="2">
        <f>E257+G257+I257+K257</f>
        <v>1820</v>
      </c>
    </row>
    <row r="258" spans="1:13" x14ac:dyDescent="0.25">
      <c r="D258" s="6" t="s">
        <v>198</v>
      </c>
      <c r="E258" s="14">
        <v>6300</v>
      </c>
      <c r="F258" s="24">
        <f>E258/M258</f>
        <v>0.56174765938475257</v>
      </c>
      <c r="G258" s="14">
        <v>3200</v>
      </c>
      <c r="H258" s="24">
        <f>G258/M258</f>
        <v>0.28533214444939814</v>
      </c>
      <c r="I258" s="14">
        <v>1700</v>
      </c>
      <c r="J258" s="24">
        <f>I258/M258</f>
        <v>0.15158270173874275</v>
      </c>
      <c r="K258" s="56">
        <v>15</v>
      </c>
      <c r="L258" s="24">
        <f>K258/M258</f>
        <v>1.3374944271065537E-3</v>
      </c>
      <c r="M258" s="15">
        <f>E258+G258+I258+K258</f>
        <v>11215</v>
      </c>
    </row>
    <row r="259" spans="1:13" x14ac:dyDescent="0.25">
      <c r="D259" s="6" t="s">
        <v>199</v>
      </c>
      <c r="E259" s="14">
        <v>20</v>
      </c>
      <c r="F259" s="24">
        <v>0.24</v>
      </c>
      <c r="G259" s="14">
        <v>30</v>
      </c>
      <c r="H259" s="24">
        <v>0.35</v>
      </c>
      <c r="I259" s="14">
        <v>20</v>
      </c>
      <c r="J259" s="24">
        <v>0.24</v>
      </c>
      <c r="K259" s="85">
        <v>15</v>
      </c>
      <c r="L259" s="24">
        <f t="shared" si="7"/>
        <v>0.17647058823529413</v>
      </c>
      <c r="M259" s="15">
        <f>E259+G259+I259+K259</f>
        <v>85</v>
      </c>
    </row>
    <row r="260" spans="1:13" x14ac:dyDescent="0.25">
      <c r="D260" s="6" t="s">
        <v>206</v>
      </c>
      <c r="E260" s="99">
        <f>E245*E247</f>
        <v>5040000</v>
      </c>
      <c r="F260" s="24">
        <f>E260/M260</f>
        <v>0.53041464954746365</v>
      </c>
      <c r="G260" s="99">
        <f>F245*F247</f>
        <v>2240000</v>
      </c>
      <c r="H260" s="24">
        <f>G260/M260</f>
        <v>0.2357398442433172</v>
      </c>
      <c r="I260" s="99">
        <f>G244*G247</f>
        <v>1190000</v>
      </c>
      <c r="J260" s="24">
        <f>I260/M260</f>
        <v>0.12523679225426226</v>
      </c>
      <c r="K260" s="196">
        <f>H245*H247</f>
        <v>1032000</v>
      </c>
      <c r="L260" s="24">
        <f>K260/M260</f>
        <v>0.10860871395495685</v>
      </c>
      <c r="M260" s="15">
        <f>E260+G260+I260+K260</f>
        <v>9502000</v>
      </c>
    </row>
    <row r="261" spans="1:13" ht="25.15" customHeight="1" x14ac:dyDescent="0.25">
      <c r="D261" s="6" t="s">
        <v>207</v>
      </c>
      <c r="E261" s="14">
        <v>120</v>
      </c>
      <c r="F261" s="24">
        <f>E261/M261</f>
        <v>0.4</v>
      </c>
      <c r="G261" s="14">
        <v>100</v>
      </c>
      <c r="H261" s="24">
        <f>G261/M261</f>
        <v>0.33333333333333331</v>
      </c>
      <c r="I261" s="14">
        <v>50</v>
      </c>
      <c r="J261" s="24">
        <f>I261/M261</f>
        <v>0.16666666666666666</v>
      </c>
      <c r="K261" s="56">
        <v>30</v>
      </c>
      <c r="L261" s="24">
        <f>K261/M261</f>
        <v>0.1</v>
      </c>
      <c r="M261" s="15">
        <f>E261+G261+I261+K261</f>
        <v>300</v>
      </c>
    </row>
    <row r="262" spans="1:13" ht="30" x14ac:dyDescent="0.25">
      <c r="D262" s="6" t="s">
        <v>208</v>
      </c>
      <c r="E262">
        <v>20</v>
      </c>
      <c r="F262" s="24">
        <v>0.28999999999999998</v>
      </c>
      <c r="G262">
        <v>20</v>
      </c>
      <c r="H262" s="24">
        <v>0.28999999999999998</v>
      </c>
      <c r="I262">
        <v>20</v>
      </c>
      <c r="J262" s="24">
        <v>0.28999999999999998</v>
      </c>
      <c r="K262">
        <v>10</v>
      </c>
      <c r="L262" s="24">
        <f t="shared" si="7"/>
        <v>6.6666666666666666E-2</v>
      </c>
      <c r="M262" s="2">
        <f t="shared" ref="M262" si="8">50+30+40+30</f>
        <v>150</v>
      </c>
    </row>
    <row r="263" spans="1:13" x14ac:dyDescent="0.25">
      <c r="D263" s="6" t="s">
        <v>203</v>
      </c>
      <c r="E263" s="14" t="str">
        <f>E253</f>
        <v>7200 UND</v>
      </c>
      <c r="F263" s="24">
        <f t="shared" ref="F263:K263" si="9">F253</f>
        <v>0.56742060052013554</v>
      </c>
      <c r="G263" s="14" t="str">
        <f t="shared" si="9"/>
        <v>3467 UND</v>
      </c>
      <c r="H263" s="24">
        <f t="shared" si="9"/>
        <v>0.27322878083379304</v>
      </c>
      <c r="I263" s="14" t="str">
        <f t="shared" si="9"/>
        <v>2000 UND</v>
      </c>
      <c r="J263" s="24">
        <f t="shared" si="9"/>
        <v>0.15761683347781544</v>
      </c>
      <c r="K263" s="56">
        <f t="shared" si="9"/>
        <v>100</v>
      </c>
      <c r="L263" s="24">
        <f>K263/M263</f>
        <v>7.8808416738907709E-3</v>
      </c>
      <c r="M263" s="2">
        <f>M253</f>
        <v>12689</v>
      </c>
    </row>
    <row r="264" spans="1:13" ht="45" x14ac:dyDescent="0.25">
      <c r="D264" s="6" t="s">
        <v>209</v>
      </c>
      <c r="E264" s="99">
        <f>E84</f>
        <v>1024555</v>
      </c>
      <c r="F264" s="23">
        <f>E264/M264</f>
        <v>0.37946481481481481</v>
      </c>
      <c r="G264" s="99">
        <f>F84</f>
        <v>613328</v>
      </c>
      <c r="H264" s="23">
        <f>G264/M264</f>
        <v>0.22715851851851851</v>
      </c>
      <c r="I264" s="99">
        <f>G84</f>
        <v>257632</v>
      </c>
      <c r="J264" s="23">
        <f>I264/M264</f>
        <v>9.5419259259259259E-2</v>
      </c>
      <c r="K264" s="196">
        <f>H84</f>
        <v>804485</v>
      </c>
      <c r="L264" s="15">
        <f>K264/M264</f>
        <v>0.29795740740740739</v>
      </c>
      <c r="M264" s="15">
        <f>E264+G264+I264+K264</f>
        <v>2700000</v>
      </c>
    </row>
    <row r="270" spans="1:13" x14ac:dyDescent="0.25">
      <c r="D270" s="1" t="s">
        <v>217</v>
      </c>
      <c r="E270" s="1" t="s">
        <v>218</v>
      </c>
      <c r="F270" s="1" t="s">
        <v>219</v>
      </c>
      <c r="G270" s="13" t="s">
        <v>220</v>
      </c>
    </row>
    <row r="271" spans="1:13" x14ac:dyDescent="0.25">
      <c r="D271" s="6" t="s">
        <v>123</v>
      </c>
      <c r="E271" s="7">
        <v>800000</v>
      </c>
      <c r="F271" s="24">
        <f>E271/E273</f>
        <v>0.5</v>
      </c>
      <c r="G271" s="23">
        <v>0.5</v>
      </c>
    </row>
    <row r="272" spans="1:13" x14ac:dyDescent="0.25">
      <c r="D272" s="2" t="s">
        <v>124</v>
      </c>
      <c r="E272" s="7">
        <v>800000</v>
      </c>
      <c r="F272" s="24">
        <f>E272/E273</f>
        <v>0.5</v>
      </c>
      <c r="G272" s="23">
        <v>0.5</v>
      </c>
    </row>
    <row r="273" spans="4:8" x14ac:dyDescent="0.25">
      <c r="D273" s="2" t="s">
        <v>175</v>
      </c>
      <c r="E273" s="101">
        <f>+E272+E271</f>
        <v>1600000</v>
      </c>
      <c r="F273" s="23">
        <f>+F272+F271</f>
        <v>1</v>
      </c>
    </row>
    <row r="275" spans="4:8" ht="43.9" customHeight="1" x14ac:dyDescent="0.25">
      <c r="D275" s="4" t="s">
        <v>221</v>
      </c>
      <c r="E275" s="4" t="s">
        <v>222</v>
      </c>
      <c r="F275" s="4" t="s">
        <v>223</v>
      </c>
      <c r="G275" s="4" t="s">
        <v>224</v>
      </c>
      <c r="H275" s="102" t="s">
        <v>225</v>
      </c>
    </row>
    <row r="276" spans="4:8" ht="33.6" customHeight="1" x14ac:dyDescent="0.25">
      <c r="D276" s="23">
        <v>0.5</v>
      </c>
      <c r="E276" s="23">
        <v>0.5</v>
      </c>
      <c r="F276" s="23">
        <v>0.5</v>
      </c>
      <c r="G276" s="23">
        <v>0.5</v>
      </c>
      <c r="H276" s="103">
        <f>D276*E276+F276*G276</f>
        <v>0.5</v>
      </c>
    </row>
    <row r="277" spans="4:8" ht="15" customHeight="1" x14ac:dyDescent="0.25"/>
    <row r="278" spans="4:8" x14ac:dyDescent="0.25">
      <c r="D278" s="1" t="s">
        <v>217</v>
      </c>
      <c r="E278" s="1" t="s">
        <v>218</v>
      </c>
      <c r="F278" s="1" t="s">
        <v>219</v>
      </c>
      <c r="G278" s="13" t="s">
        <v>220</v>
      </c>
    </row>
    <row r="279" spans="4:8" x14ac:dyDescent="0.25">
      <c r="D279" s="6" t="s">
        <v>226</v>
      </c>
      <c r="E279" s="7">
        <v>1500000</v>
      </c>
      <c r="F279" s="24">
        <f>E279/E280</f>
        <v>1</v>
      </c>
      <c r="G279" s="24">
        <v>1</v>
      </c>
    </row>
    <row r="280" spans="4:8" x14ac:dyDescent="0.25">
      <c r="D280" s="2" t="s">
        <v>175</v>
      </c>
      <c r="E280" s="101">
        <f>E279</f>
        <v>1500000</v>
      </c>
      <c r="F280" s="23">
        <f>F279</f>
        <v>1</v>
      </c>
    </row>
    <row r="282" spans="4:8" ht="60" x14ac:dyDescent="0.25">
      <c r="D282" s="4" t="s">
        <v>221</v>
      </c>
      <c r="E282" s="4" t="s">
        <v>227</v>
      </c>
      <c r="F282" s="104" t="s">
        <v>228</v>
      </c>
    </row>
    <row r="283" spans="4:8" x14ac:dyDescent="0.25">
      <c r="D283" s="23">
        <f>G279</f>
        <v>1</v>
      </c>
      <c r="E283" s="23">
        <f>F279</f>
        <v>1</v>
      </c>
      <c r="F283" s="105">
        <f>D283*E283</f>
        <v>1</v>
      </c>
    </row>
    <row r="285" spans="4:8" x14ac:dyDescent="0.25">
      <c r="D285" s="1" t="s">
        <v>217</v>
      </c>
      <c r="E285" s="1" t="s">
        <v>218</v>
      </c>
      <c r="F285" s="1" t="s">
        <v>219</v>
      </c>
      <c r="G285" s="13" t="s">
        <v>220</v>
      </c>
    </row>
    <row r="286" spans="4:8" x14ac:dyDescent="0.25">
      <c r="D286" s="6" t="s">
        <v>125</v>
      </c>
      <c r="E286" s="7">
        <v>500000</v>
      </c>
      <c r="F286" s="24">
        <f>E286/E287</f>
        <v>1</v>
      </c>
      <c r="G286" s="24">
        <v>1</v>
      </c>
    </row>
    <row r="287" spans="4:8" x14ac:dyDescent="0.25">
      <c r="D287" s="2" t="s">
        <v>175</v>
      </c>
      <c r="E287" s="101">
        <f>E286</f>
        <v>500000</v>
      </c>
      <c r="F287" s="23">
        <f>F286</f>
        <v>1</v>
      </c>
    </row>
    <row r="289" spans="1:22" ht="45" x14ac:dyDescent="0.25">
      <c r="D289" s="4" t="s">
        <v>221</v>
      </c>
      <c r="E289" s="4" t="s">
        <v>229</v>
      </c>
      <c r="F289" s="106" t="s">
        <v>230</v>
      </c>
    </row>
    <row r="290" spans="1:22" x14ac:dyDescent="0.25">
      <c r="D290" s="23">
        <f>G286</f>
        <v>1</v>
      </c>
      <c r="E290" s="23">
        <f>F286</f>
        <v>1</v>
      </c>
      <c r="F290" s="107">
        <f>D290*E290</f>
        <v>1</v>
      </c>
    </row>
    <row r="294" spans="1:22" x14ac:dyDescent="0.25">
      <c r="A294" s="468" t="s">
        <v>249</v>
      </c>
      <c r="B294" s="468"/>
      <c r="C294" s="468"/>
      <c r="D294" s="468"/>
      <c r="E294" s="468"/>
      <c r="F294" s="468"/>
      <c r="G294" s="468"/>
      <c r="H294" s="468"/>
      <c r="I294" s="468"/>
    </row>
    <row r="296" spans="1:22" ht="60" x14ac:dyDescent="0.25">
      <c r="A296" s="1" t="s">
        <v>231</v>
      </c>
      <c r="B296" s="108" t="s">
        <v>15</v>
      </c>
      <c r="C296" s="109" t="s">
        <v>232</v>
      </c>
      <c r="D296" s="109" t="s">
        <v>18</v>
      </c>
      <c r="E296" s="108" t="s">
        <v>233</v>
      </c>
      <c r="F296" s="109" t="s">
        <v>234</v>
      </c>
      <c r="G296" s="109" t="s">
        <v>175</v>
      </c>
      <c r="N296" s="476" t="s">
        <v>466</v>
      </c>
      <c r="O296" s="476"/>
      <c r="P296" s="476"/>
      <c r="Q296" s="476"/>
      <c r="R296" s="476"/>
    </row>
    <row r="297" spans="1:22" ht="32.450000000000003" customHeight="1" x14ac:dyDescent="0.25">
      <c r="A297" s="1" t="s">
        <v>235</v>
      </c>
      <c r="B297" s="1" t="s">
        <v>161</v>
      </c>
      <c r="C297" s="44" t="s">
        <v>181</v>
      </c>
      <c r="D297" s="44" t="s">
        <v>179</v>
      </c>
      <c r="E297" s="44" t="s">
        <v>236</v>
      </c>
      <c r="F297" s="44" t="s">
        <v>237</v>
      </c>
      <c r="G297" s="1"/>
      <c r="N297" s="1" t="s">
        <v>1</v>
      </c>
      <c r="O297" s="1" t="s">
        <v>210</v>
      </c>
      <c r="P297" s="1" t="s">
        <v>66</v>
      </c>
      <c r="Q297" s="1" t="s">
        <v>211</v>
      </c>
      <c r="R297" s="1" t="s">
        <v>212</v>
      </c>
    </row>
    <row r="298" spans="1:22" ht="43.5" x14ac:dyDescent="0.25">
      <c r="A298" s="498" t="s">
        <v>238</v>
      </c>
      <c r="B298" s="498"/>
      <c r="C298" s="498"/>
      <c r="D298" s="498"/>
      <c r="E298" s="498"/>
      <c r="F298" s="498"/>
      <c r="G298" s="498"/>
      <c r="H298" s="54"/>
      <c r="I298" s="54"/>
      <c r="N298" s="100" t="s">
        <v>145</v>
      </c>
      <c r="O298" s="14">
        <f>G299</f>
        <v>1806250</v>
      </c>
      <c r="P298" s="23">
        <f>O298/O310</f>
        <v>0.21814613526570045</v>
      </c>
      <c r="Q298" s="23">
        <f>P298</f>
        <v>0.21814613526570045</v>
      </c>
      <c r="R298" s="2" t="s">
        <v>213</v>
      </c>
      <c r="U298" s="100" t="s">
        <v>145</v>
      </c>
      <c r="V298" s="23">
        <f>P298</f>
        <v>0.21814613526570045</v>
      </c>
    </row>
    <row r="299" spans="1:22" ht="30" x14ac:dyDescent="0.25">
      <c r="A299" s="3" t="s">
        <v>145</v>
      </c>
      <c r="B299" s="14">
        <v>750000</v>
      </c>
      <c r="C299" s="110">
        <f>H218</f>
        <v>1056250</v>
      </c>
      <c r="D299" s="14"/>
      <c r="E299" s="14">
        <f>H190</f>
        <v>120000</v>
      </c>
      <c r="F299" s="14"/>
      <c r="G299" s="14">
        <f>B299+C299</f>
        <v>1806250</v>
      </c>
      <c r="H299" s="111"/>
      <c r="I299" s="12"/>
      <c r="N299" s="100" t="s">
        <v>149</v>
      </c>
      <c r="O299" s="14">
        <f>G300</f>
        <v>1223750</v>
      </c>
      <c r="P299" s="23">
        <f>O299/O310</f>
        <v>0.14779589371980675</v>
      </c>
      <c r="Q299" s="23">
        <f t="shared" ref="Q299:Q309" si="10">Q298+P299</f>
        <v>0.36594202898550721</v>
      </c>
      <c r="R299" s="2" t="s">
        <v>213</v>
      </c>
      <c r="U299" s="100" t="s">
        <v>149</v>
      </c>
      <c r="V299" s="23">
        <f>P299</f>
        <v>0.14779589371980675</v>
      </c>
    </row>
    <row r="300" spans="1:22" x14ac:dyDescent="0.25">
      <c r="A300" s="60" t="s">
        <v>149</v>
      </c>
      <c r="B300" s="14">
        <v>750000</v>
      </c>
      <c r="C300" s="15">
        <f>H219</f>
        <v>443750</v>
      </c>
      <c r="D300" s="14"/>
      <c r="E300" s="14">
        <f>H191</f>
        <v>30000</v>
      </c>
      <c r="F300" s="14"/>
      <c r="G300" s="14">
        <f>B300+C300+E300</f>
        <v>1223750</v>
      </c>
      <c r="H300" s="111"/>
      <c r="I300" s="12"/>
      <c r="N300" s="6" t="s">
        <v>140</v>
      </c>
      <c r="O300" s="14">
        <f t="shared" ref="O300:O308" si="11">G303</f>
        <v>459027.77777777775</v>
      </c>
      <c r="P300" s="23">
        <f>O300/O310</f>
        <v>5.5438137412775083E-2</v>
      </c>
      <c r="Q300" s="23">
        <f t="shared" si="10"/>
        <v>0.4213801663982823</v>
      </c>
      <c r="R300" s="2" t="s">
        <v>214</v>
      </c>
      <c r="U300" s="6" t="s">
        <v>140</v>
      </c>
      <c r="V300" s="23">
        <f>P300</f>
        <v>5.5438137412775083E-2</v>
      </c>
    </row>
    <row r="301" spans="1:22" ht="30" x14ac:dyDescent="0.25">
      <c r="A301" s="5" t="s">
        <v>35</v>
      </c>
      <c r="B301" s="28">
        <f>SUM(B299:B300)</f>
        <v>1500000</v>
      </c>
      <c r="C301" s="25">
        <f>SUM(C299:C300)</f>
        <v>1500000</v>
      </c>
      <c r="D301" s="25"/>
      <c r="E301" s="25">
        <f>E300+E299</f>
        <v>150000</v>
      </c>
      <c r="F301" s="25"/>
      <c r="G301" s="25">
        <f>B301+C301+E301</f>
        <v>3150000</v>
      </c>
      <c r="H301" s="111"/>
      <c r="I301" s="52">
        <v>0.56999999999999995</v>
      </c>
      <c r="N301" s="6" t="s">
        <v>142</v>
      </c>
      <c r="O301" s="14">
        <f t="shared" si="11"/>
        <v>384027.77777777775</v>
      </c>
      <c r="P301" s="23">
        <f>O301/O310</f>
        <v>4.6380166398282331E-2</v>
      </c>
      <c r="Q301" s="23">
        <f t="shared" si="10"/>
        <v>0.46776033279656465</v>
      </c>
      <c r="R301" s="2" t="s">
        <v>214</v>
      </c>
      <c r="U301" s="6" t="s">
        <v>142</v>
      </c>
      <c r="V301" s="23">
        <f>P302</f>
        <v>5.5438137412775083E-2</v>
      </c>
    </row>
    <row r="302" spans="1:22" ht="30" x14ac:dyDescent="0.25">
      <c r="A302" s="498" t="s">
        <v>165</v>
      </c>
      <c r="B302" s="498"/>
      <c r="C302" s="498"/>
      <c r="D302" s="498"/>
      <c r="E302" s="498"/>
      <c r="F302" s="498"/>
      <c r="G302" s="498"/>
      <c r="H302" s="54"/>
      <c r="I302" s="112">
        <v>0.27</v>
      </c>
      <c r="N302" s="6" t="s">
        <v>144</v>
      </c>
      <c r="O302" s="14">
        <f t="shared" si="11"/>
        <v>459027.77777777775</v>
      </c>
      <c r="P302" s="23">
        <f>O302/O310</f>
        <v>5.5438137412775083E-2</v>
      </c>
      <c r="Q302" s="23">
        <f t="shared" si="10"/>
        <v>0.52319847020933974</v>
      </c>
      <c r="R302" s="2" t="s">
        <v>214</v>
      </c>
      <c r="U302" s="6" t="s">
        <v>144</v>
      </c>
      <c r="V302" s="23">
        <f>P303</f>
        <v>4.7889828234031123E-2</v>
      </c>
    </row>
    <row r="303" spans="1:22" x14ac:dyDescent="0.25">
      <c r="A303" s="6" t="s">
        <v>140</v>
      </c>
      <c r="B303" s="14">
        <f>B312/9</f>
        <v>177777.77777777778</v>
      </c>
      <c r="C303" s="2">
        <v>0</v>
      </c>
      <c r="D303" s="14">
        <f t="shared" ref="D303:D311" si="12">I203</f>
        <v>250000</v>
      </c>
      <c r="E303" s="14">
        <f t="shared" ref="E303:E311" si="13">I177</f>
        <v>31250</v>
      </c>
      <c r="F303" s="14">
        <v>0</v>
      </c>
      <c r="G303" s="14">
        <f t="shared" ref="G303:G311" si="14">SUM(B303:F303)</f>
        <v>459027.77777777775</v>
      </c>
      <c r="H303" s="111"/>
      <c r="I303" s="52">
        <v>0.16</v>
      </c>
      <c r="N303" s="6" t="s">
        <v>147</v>
      </c>
      <c r="O303" s="14">
        <f t="shared" si="11"/>
        <v>396527.77777777775</v>
      </c>
      <c r="P303" s="23">
        <f>O303/O310</f>
        <v>4.7889828234031123E-2</v>
      </c>
      <c r="Q303" s="23">
        <f t="shared" si="10"/>
        <v>0.57108829844337083</v>
      </c>
      <c r="R303" s="2" t="s">
        <v>215</v>
      </c>
      <c r="U303" s="6" t="s">
        <v>147</v>
      </c>
      <c r="V303" s="23">
        <f>P304</f>
        <v>5.4683306494900691E-2</v>
      </c>
    </row>
    <row r="304" spans="1:22" ht="30" x14ac:dyDescent="0.25">
      <c r="A304" s="6" t="s">
        <v>142</v>
      </c>
      <c r="B304" s="14">
        <f>B312/9</f>
        <v>177777.77777777778</v>
      </c>
      <c r="C304" s="2"/>
      <c r="D304" s="14">
        <f t="shared" si="12"/>
        <v>187500</v>
      </c>
      <c r="E304" s="14">
        <f t="shared" si="13"/>
        <v>18750.000000000004</v>
      </c>
      <c r="F304" s="14"/>
      <c r="G304" s="14">
        <f t="shared" si="14"/>
        <v>384027.77777777775</v>
      </c>
      <c r="H304" s="111"/>
      <c r="I304" s="111"/>
      <c r="N304" s="6" t="s">
        <v>150</v>
      </c>
      <c r="O304" s="14">
        <f t="shared" si="11"/>
        <v>452777.77777777775</v>
      </c>
      <c r="P304" s="23">
        <f>O304/O310</f>
        <v>5.4683306494900691E-2</v>
      </c>
      <c r="Q304" s="23">
        <f t="shared" si="10"/>
        <v>0.62577160493827155</v>
      </c>
      <c r="R304" s="2" t="s">
        <v>215</v>
      </c>
      <c r="U304" s="6" t="s">
        <v>150</v>
      </c>
      <c r="V304" s="23">
        <f t="shared" ref="V304:V309" si="15">P304</f>
        <v>5.4683306494900691E-2</v>
      </c>
    </row>
    <row r="305" spans="1:25" ht="30" x14ac:dyDescent="0.25">
      <c r="A305" s="6" t="s">
        <v>144</v>
      </c>
      <c r="B305" s="14">
        <f>B312/9</f>
        <v>177777.77777777778</v>
      </c>
      <c r="C305" s="2"/>
      <c r="D305" s="14">
        <f t="shared" si="12"/>
        <v>250000</v>
      </c>
      <c r="E305" s="14">
        <f t="shared" si="13"/>
        <v>31250</v>
      </c>
      <c r="F305" s="14"/>
      <c r="G305" s="14">
        <f t="shared" si="14"/>
        <v>459027.77777777775</v>
      </c>
      <c r="H305" s="111"/>
      <c r="I305" s="111"/>
      <c r="N305" s="6" t="s">
        <v>153</v>
      </c>
      <c r="O305" s="14">
        <f t="shared" si="11"/>
        <v>381944.44444444444</v>
      </c>
      <c r="P305" s="23">
        <f>O305/O310</f>
        <v>4.6128556092324205E-2</v>
      </c>
      <c r="Q305" s="23">
        <f t="shared" si="10"/>
        <v>0.6719001610305958</v>
      </c>
      <c r="R305" s="2" t="s">
        <v>215</v>
      </c>
      <c r="U305" s="6" t="s">
        <v>153</v>
      </c>
      <c r="V305" s="23">
        <f t="shared" si="15"/>
        <v>4.6128556092324205E-2</v>
      </c>
    </row>
    <row r="306" spans="1:25" ht="30" x14ac:dyDescent="0.25">
      <c r="A306" s="6" t="s">
        <v>147</v>
      </c>
      <c r="B306" s="14">
        <f>B312/9</f>
        <v>177777.77777777778</v>
      </c>
      <c r="C306" s="2"/>
      <c r="D306" s="14">
        <f t="shared" si="12"/>
        <v>187500</v>
      </c>
      <c r="E306" s="14">
        <f t="shared" si="13"/>
        <v>31250</v>
      </c>
      <c r="F306" s="14"/>
      <c r="G306" s="14">
        <f t="shared" si="14"/>
        <v>396527.77777777775</v>
      </c>
      <c r="H306" s="111"/>
      <c r="I306" s="111"/>
      <c r="N306" s="6" t="s">
        <v>155</v>
      </c>
      <c r="O306" s="14">
        <f t="shared" si="11"/>
        <v>452777.77777777775</v>
      </c>
      <c r="P306" s="23">
        <f>O306/O310</f>
        <v>5.4683306494900691E-2</v>
      </c>
      <c r="Q306" s="23">
        <f t="shared" si="10"/>
        <v>0.72658346752549652</v>
      </c>
      <c r="R306" s="2" t="s">
        <v>215</v>
      </c>
      <c r="U306" s="6" t="s">
        <v>155</v>
      </c>
      <c r="V306" s="23">
        <f t="shared" si="15"/>
        <v>5.4683306494900691E-2</v>
      </c>
    </row>
    <row r="307" spans="1:25" x14ac:dyDescent="0.25">
      <c r="A307" s="6" t="s">
        <v>150</v>
      </c>
      <c r="B307" s="14">
        <f>B312/9</f>
        <v>177777.77777777778</v>
      </c>
      <c r="C307" s="2"/>
      <c r="D307" s="14">
        <f t="shared" si="12"/>
        <v>250000</v>
      </c>
      <c r="E307" s="14">
        <f t="shared" si="13"/>
        <v>25000</v>
      </c>
      <c r="F307" s="14"/>
      <c r="G307" s="14">
        <f t="shared" si="14"/>
        <v>452777.77777777775</v>
      </c>
      <c r="H307" s="111"/>
      <c r="I307" s="111"/>
      <c r="N307" s="6" t="s">
        <v>156</v>
      </c>
      <c r="O307" s="14">
        <f t="shared" si="11"/>
        <v>417361.11111111112</v>
      </c>
      <c r="P307" s="23">
        <f>O307/O310</f>
        <v>5.0405931293612448E-2</v>
      </c>
      <c r="Q307" s="23">
        <f t="shared" si="10"/>
        <v>0.776989398819109</v>
      </c>
      <c r="R307" s="2" t="s">
        <v>215</v>
      </c>
      <c r="U307" s="6" t="s">
        <v>156</v>
      </c>
      <c r="V307" s="23">
        <f t="shared" si="15"/>
        <v>5.0405931293612448E-2</v>
      </c>
    </row>
    <row r="308" spans="1:25" x14ac:dyDescent="0.25">
      <c r="A308" s="6" t="s">
        <v>153</v>
      </c>
      <c r="B308" s="14">
        <f>B312/9</f>
        <v>177777.77777777778</v>
      </c>
      <c r="C308" s="2"/>
      <c r="D308" s="14">
        <f t="shared" si="12"/>
        <v>166666.66666666666</v>
      </c>
      <c r="E308" s="14">
        <f t="shared" si="13"/>
        <v>37500</v>
      </c>
      <c r="F308" s="14"/>
      <c r="G308" s="14">
        <f t="shared" si="14"/>
        <v>381944.44444444444</v>
      </c>
      <c r="H308" s="111"/>
      <c r="I308" s="111"/>
      <c r="N308" s="6" t="s">
        <v>158</v>
      </c>
      <c r="O308" s="14">
        <f t="shared" si="11"/>
        <v>446527.77777777775</v>
      </c>
      <c r="P308" s="23">
        <f>O308/O310</f>
        <v>5.3928475577026291E-2</v>
      </c>
      <c r="Q308" s="23">
        <f t="shared" si="10"/>
        <v>0.83091787439613529</v>
      </c>
      <c r="R308" s="2" t="s">
        <v>215</v>
      </c>
      <c r="U308" s="6" t="s">
        <v>158</v>
      </c>
      <c r="V308" s="23">
        <f t="shared" si="15"/>
        <v>5.3928475577026291E-2</v>
      </c>
    </row>
    <row r="309" spans="1:25" ht="30" x14ac:dyDescent="0.25">
      <c r="A309" s="6" t="s">
        <v>155</v>
      </c>
      <c r="B309" s="14">
        <f>B312/9</f>
        <v>177777.77777777778</v>
      </c>
      <c r="C309" s="2"/>
      <c r="D309" s="14">
        <f t="shared" si="12"/>
        <v>250000</v>
      </c>
      <c r="E309" s="14">
        <f t="shared" si="13"/>
        <v>25000</v>
      </c>
      <c r="F309" s="14"/>
      <c r="G309" s="14">
        <f t="shared" si="14"/>
        <v>452777.77777777775</v>
      </c>
      <c r="H309" s="111"/>
      <c r="I309" s="111"/>
      <c r="N309" s="100" t="s">
        <v>73</v>
      </c>
      <c r="O309" s="14">
        <f>G314</f>
        <v>1400000</v>
      </c>
      <c r="P309" s="23">
        <f>O309/O310</f>
        <v>0.16908212560386471</v>
      </c>
      <c r="Q309" s="23">
        <f t="shared" si="10"/>
        <v>1</v>
      </c>
      <c r="R309" s="2" t="s">
        <v>213</v>
      </c>
      <c r="U309" s="100" t="s">
        <v>73</v>
      </c>
      <c r="V309" s="23">
        <f t="shared" si="15"/>
        <v>0.16908212560386471</v>
      </c>
    </row>
    <row r="310" spans="1:25" x14ac:dyDescent="0.25">
      <c r="A310" s="6" t="s">
        <v>156</v>
      </c>
      <c r="B310" s="14">
        <f>B312/9</f>
        <v>177777.77777777778</v>
      </c>
      <c r="C310" s="2">
        <v>0</v>
      </c>
      <c r="D310" s="14">
        <f t="shared" si="12"/>
        <v>208333.33333333334</v>
      </c>
      <c r="E310" s="14">
        <f t="shared" si="13"/>
        <v>31250</v>
      </c>
      <c r="F310" s="14"/>
      <c r="G310" s="14">
        <f t="shared" si="14"/>
        <v>417361.11111111112</v>
      </c>
      <c r="H310" s="111"/>
      <c r="I310" s="111"/>
      <c r="N310" s="100" t="s">
        <v>216</v>
      </c>
      <c r="O310" s="15">
        <f>SUM(O298:O309)</f>
        <v>8280000.0000000009</v>
      </c>
      <c r="P310" s="23">
        <f>SUM(P298:P309)</f>
        <v>1</v>
      </c>
      <c r="Q310" s="2"/>
      <c r="R310" s="2"/>
    </row>
    <row r="311" spans="1:25" x14ac:dyDescent="0.25">
      <c r="A311" s="6" t="s">
        <v>158</v>
      </c>
      <c r="B311" s="14">
        <f>B312/9</f>
        <v>177777.77777777778</v>
      </c>
      <c r="C311" s="2">
        <v>0</v>
      </c>
      <c r="D311" s="14">
        <f t="shared" si="12"/>
        <v>250000</v>
      </c>
      <c r="E311" s="14">
        <f t="shared" si="13"/>
        <v>18750.000000000004</v>
      </c>
      <c r="F311" s="14"/>
      <c r="G311" s="14">
        <f t="shared" si="14"/>
        <v>446527.77777777775</v>
      </c>
      <c r="H311" s="111"/>
      <c r="I311" s="111"/>
    </row>
    <row r="312" spans="1:25" x14ac:dyDescent="0.25">
      <c r="A312" s="5" t="s">
        <v>35</v>
      </c>
      <c r="B312" s="25">
        <v>1600000</v>
      </c>
      <c r="C312" s="5">
        <f t="shared" ref="C312" si="16">SUM(C303:C311)</f>
        <v>0</v>
      </c>
      <c r="D312" s="25">
        <f>SUM(D303:D311)</f>
        <v>2000000</v>
      </c>
      <c r="E312" s="25">
        <f>SUM(E303:E311)</f>
        <v>250000</v>
      </c>
      <c r="F312" s="25"/>
      <c r="G312" s="25">
        <f>SUM(B312:F312)</f>
        <v>3850000</v>
      </c>
      <c r="H312" s="111"/>
      <c r="I312" s="111"/>
    </row>
    <row r="313" spans="1:25" x14ac:dyDescent="0.25">
      <c r="A313" s="499" t="s">
        <v>239</v>
      </c>
      <c r="B313" s="500"/>
      <c r="C313" s="500"/>
      <c r="D313" s="500"/>
      <c r="E313" s="500"/>
      <c r="F313" s="500"/>
      <c r="G313" s="501"/>
      <c r="H313" s="54"/>
      <c r="I313" s="54"/>
      <c r="R313" s="481" t="s">
        <v>513</v>
      </c>
      <c r="S313" s="481"/>
      <c r="T313" s="481"/>
      <c r="U313" s="481"/>
      <c r="V313" s="481"/>
    </row>
    <row r="314" spans="1:25" ht="30" x14ac:dyDescent="0.25">
      <c r="A314" s="6" t="s">
        <v>167</v>
      </c>
      <c r="B314" s="14">
        <v>500000</v>
      </c>
      <c r="C314" s="14">
        <v>0</v>
      </c>
      <c r="D314" s="14"/>
      <c r="E314" s="14">
        <v>100000</v>
      </c>
      <c r="F314" s="14">
        <v>800000</v>
      </c>
      <c r="G314" s="14">
        <f>SUM(B314:F314)</f>
        <v>1400000</v>
      </c>
      <c r="H314" s="111"/>
      <c r="I314" s="111"/>
      <c r="N314" s="1" t="s">
        <v>1</v>
      </c>
      <c r="O314" s="1" t="s">
        <v>499</v>
      </c>
      <c r="P314" s="1" t="s">
        <v>500</v>
      </c>
      <c r="R314" s="44" t="s">
        <v>1</v>
      </c>
      <c r="S314" s="1" t="s">
        <v>65</v>
      </c>
      <c r="T314" s="1" t="s">
        <v>66</v>
      </c>
      <c r="U314" s="1" t="s">
        <v>211</v>
      </c>
      <c r="V314" s="1" t="s">
        <v>508</v>
      </c>
      <c r="X314" s="44" t="s">
        <v>1</v>
      </c>
      <c r="Y314" s="198" t="s">
        <v>66</v>
      </c>
    </row>
    <row r="315" spans="1:25" ht="43.5" x14ac:dyDescent="0.25">
      <c r="A315" s="5" t="s">
        <v>240</v>
      </c>
      <c r="B315" s="25">
        <f>SUM(B314:B314)</f>
        <v>500000</v>
      </c>
      <c r="C315" s="25">
        <f>SUM(C314:C314)</f>
        <v>0</v>
      </c>
      <c r="D315" s="25"/>
      <c r="E315" s="25">
        <f>SUM(E314:E314)</f>
        <v>100000</v>
      </c>
      <c r="F315" s="25">
        <f>SUM(F314:F314)</f>
        <v>800000</v>
      </c>
      <c r="G315" s="25">
        <f>SUM(G314:G314)</f>
        <v>1400000</v>
      </c>
      <c r="H315" s="111"/>
      <c r="I315" s="111"/>
      <c r="N315" s="100" t="s">
        <v>145</v>
      </c>
      <c r="O315" s="6" t="s">
        <v>501</v>
      </c>
      <c r="P315" s="2" t="s">
        <v>502</v>
      </c>
      <c r="R315" s="2" t="s">
        <v>509</v>
      </c>
      <c r="S315" s="15">
        <f>G301</f>
        <v>3150000</v>
      </c>
      <c r="T315" s="24">
        <f>S315/S319</f>
        <v>0.375</v>
      </c>
      <c r="U315" s="23">
        <f>T315</f>
        <v>0.375</v>
      </c>
      <c r="V315" s="2" t="s">
        <v>502</v>
      </c>
      <c r="X315" s="2" t="s">
        <v>509</v>
      </c>
      <c r="Y315" s="23">
        <f>T315</f>
        <v>0.375</v>
      </c>
    </row>
    <row r="316" spans="1:25" ht="30" x14ac:dyDescent="0.25">
      <c r="N316" s="100" t="s">
        <v>149</v>
      </c>
      <c r="O316" s="6" t="s">
        <v>501</v>
      </c>
      <c r="P316" s="2" t="s">
        <v>502</v>
      </c>
      <c r="R316" s="2" t="s">
        <v>510</v>
      </c>
      <c r="S316" s="15">
        <f>G303+G304+G305+G306+G307</f>
        <v>2151388.888888889</v>
      </c>
      <c r="T316" s="24">
        <f>S316/S319</f>
        <v>0.25611772486772488</v>
      </c>
      <c r="U316" s="23">
        <f>U315+T316</f>
        <v>0.63111772486772488</v>
      </c>
      <c r="V316" s="2" t="s">
        <v>506</v>
      </c>
      <c r="X316" s="2" t="s">
        <v>510</v>
      </c>
      <c r="Y316" s="23">
        <f>T316</f>
        <v>0.25611772486772488</v>
      </c>
    </row>
    <row r="317" spans="1:25" ht="18.75" x14ac:dyDescent="0.3">
      <c r="A317" s="504" t="s">
        <v>241</v>
      </c>
      <c r="B317" s="504"/>
      <c r="C317" s="504"/>
      <c r="D317" s="504"/>
      <c r="E317" s="504"/>
      <c r="F317" s="504"/>
      <c r="N317" s="6" t="s">
        <v>140</v>
      </c>
      <c r="O317" s="6" t="s">
        <v>503</v>
      </c>
      <c r="P317" s="2" t="s">
        <v>506</v>
      </c>
      <c r="R317" s="2" t="s">
        <v>511</v>
      </c>
      <c r="S317" s="15">
        <f>G308+G309+G310+G311</f>
        <v>1698611.1111111112</v>
      </c>
      <c r="T317" s="24">
        <f>S317/S319</f>
        <v>0.20221560846560849</v>
      </c>
      <c r="U317" s="23">
        <f>T317+U316</f>
        <v>0.83333333333333337</v>
      </c>
      <c r="V317" s="2" t="s">
        <v>506</v>
      </c>
      <c r="X317" s="2" t="s">
        <v>511</v>
      </c>
      <c r="Y317" s="23">
        <f>T317</f>
        <v>0.20221560846560849</v>
      </c>
    </row>
    <row r="318" spans="1:25" ht="30" x14ac:dyDescent="0.25">
      <c r="A318" s="468" t="s">
        <v>242</v>
      </c>
      <c r="B318" s="468"/>
      <c r="C318" s="468"/>
      <c r="D318" s="468"/>
      <c r="E318" s="468"/>
      <c r="F318" s="468"/>
      <c r="N318" s="6" t="s">
        <v>142</v>
      </c>
      <c r="O318" s="6" t="s">
        <v>503</v>
      </c>
      <c r="P318" s="2" t="s">
        <v>506</v>
      </c>
      <c r="R318" s="2" t="s">
        <v>512</v>
      </c>
      <c r="S318" s="15">
        <f>G315</f>
        <v>1400000</v>
      </c>
      <c r="T318" s="24">
        <f>S318/S319</f>
        <v>0.16666666666666666</v>
      </c>
      <c r="U318" s="23">
        <f>U317+T318</f>
        <v>1</v>
      </c>
      <c r="V318" s="2" t="s">
        <v>505</v>
      </c>
      <c r="X318" s="2" t="s">
        <v>512</v>
      </c>
      <c r="Y318" s="23">
        <f>T318</f>
        <v>0.16666666666666666</v>
      </c>
    </row>
    <row r="319" spans="1:25" ht="30" x14ac:dyDescent="0.25">
      <c r="A319" s="16"/>
      <c r="B319" s="16"/>
      <c r="C319" s="16"/>
      <c r="D319" s="16"/>
      <c r="E319" s="16"/>
      <c r="F319" s="16"/>
      <c r="N319" s="6" t="s">
        <v>144</v>
      </c>
      <c r="O319" s="6" t="s">
        <v>503</v>
      </c>
      <c r="P319" s="2" t="s">
        <v>506</v>
      </c>
      <c r="R319" s="2" t="s">
        <v>35</v>
      </c>
      <c r="S319" s="15">
        <f>SUM(S315:S318)</f>
        <v>8400000</v>
      </c>
      <c r="T319" s="23">
        <f>SUM(T315:T318)</f>
        <v>1</v>
      </c>
      <c r="U319" s="2"/>
      <c r="V319" s="2"/>
    </row>
    <row r="320" spans="1:25" x14ac:dyDescent="0.25">
      <c r="C320" s="1" t="s">
        <v>186</v>
      </c>
      <c r="D320" s="1" t="s">
        <v>76</v>
      </c>
      <c r="E320" s="1" t="s">
        <v>77</v>
      </c>
      <c r="F320" s="1" t="s">
        <v>53</v>
      </c>
      <c r="H320" s="12">
        <f>C321/7200</f>
        <v>4.3796489969135807E-2</v>
      </c>
      <c r="N320" s="6" t="s">
        <v>147</v>
      </c>
      <c r="O320" s="6" t="s">
        <v>503</v>
      </c>
      <c r="P320" s="2" t="s">
        <v>506</v>
      </c>
    </row>
    <row r="321" spans="1:16" x14ac:dyDescent="0.25">
      <c r="A321" s="506" t="s">
        <v>243</v>
      </c>
      <c r="B321" s="507"/>
      <c r="C321" s="113">
        <f>C330/C328</f>
        <v>315.3347277777778</v>
      </c>
      <c r="D321" s="113">
        <f>D330/D328</f>
        <v>384.37611191231616</v>
      </c>
      <c r="E321" s="113">
        <f>E330/E328</f>
        <v>394.85391999999996</v>
      </c>
      <c r="F321" s="113">
        <f>F330/F328</f>
        <v>6678.3700000000008</v>
      </c>
      <c r="N321" s="6" t="s">
        <v>150</v>
      </c>
      <c r="O321" s="6" t="s">
        <v>503</v>
      </c>
      <c r="P321" s="2" t="s">
        <v>506</v>
      </c>
    </row>
    <row r="322" spans="1:16" ht="30" x14ac:dyDescent="0.25">
      <c r="A322" s="508" t="s">
        <v>244</v>
      </c>
      <c r="B322" s="509"/>
      <c r="C322" s="114">
        <f>C331/C328</f>
        <v>142.29930555555555</v>
      </c>
      <c r="D322" s="114">
        <f>D331/D328</f>
        <v>176.90452841072974</v>
      </c>
      <c r="E322" s="114">
        <f>E331/E328</f>
        <v>128.816</v>
      </c>
      <c r="F322" s="114">
        <f>F331/F328</f>
        <v>36567.5</v>
      </c>
      <c r="G322" s="12"/>
      <c r="H322" t="s">
        <v>44</v>
      </c>
      <c r="I322" s="12">
        <f>C324</f>
        <v>732.35625555555566</v>
      </c>
      <c r="J322" s="12">
        <f>I331*46%</f>
        <v>1978000</v>
      </c>
      <c r="N322" s="6" t="s">
        <v>153</v>
      </c>
      <c r="O322" s="2" t="s">
        <v>507</v>
      </c>
      <c r="P322" s="2" t="s">
        <v>506</v>
      </c>
    </row>
    <row r="323" spans="1:16" ht="30" x14ac:dyDescent="0.25">
      <c r="A323" s="474" t="s">
        <v>247</v>
      </c>
      <c r="B323" s="475"/>
      <c r="C323" s="115">
        <f>C332/C328</f>
        <v>274.72222222222223</v>
      </c>
      <c r="D323" s="115">
        <f>D332/D328</f>
        <v>334.87164695702336</v>
      </c>
      <c r="E323" s="115">
        <f>E332/E328</f>
        <v>344</v>
      </c>
      <c r="F323" s="115">
        <f>F332/F328</f>
        <v>21500</v>
      </c>
      <c r="G323" s="12"/>
      <c r="I323" s="12"/>
      <c r="N323" s="6" t="s">
        <v>155</v>
      </c>
      <c r="O323" s="2" t="s">
        <v>507</v>
      </c>
      <c r="P323" s="2" t="s">
        <v>506</v>
      </c>
    </row>
    <row r="324" spans="1:16" x14ac:dyDescent="0.25">
      <c r="A324" s="505" t="s">
        <v>245</v>
      </c>
      <c r="B324" s="465"/>
      <c r="C324" s="15">
        <f>C321+C322+C323</f>
        <v>732.35625555555566</v>
      </c>
      <c r="D324" s="15">
        <f>D322+D321+D323</f>
        <v>896.15228728006923</v>
      </c>
      <c r="E324" s="15">
        <f>E322+E321+E323</f>
        <v>867.66991999999993</v>
      </c>
      <c r="F324" s="15">
        <f>F321+F322+F323</f>
        <v>64745.87</v>
      </c>
      <c r="H324" t="s">
        <v>76</v>
      </c>
      <c r="I324" s="12">
        <f>D324</f>
        <v>896.15228728006923</v>
      </c>
      <c r="J324" s="12">
        <f>I331*27%</f>
        <v>1161000</v>
      </c>
      <c r="N324" s="6" t="s">
        <v>156</v>
      </c>
      <c r="O324" s="2" t="s">
        <v>507</v>
      </c>
      <c r="P324" s="2" t="s">
        <v>506</v>
      </c>
    </row>
    <row r="325" spans="1:16" x14ac:dyDescent="0.25">
      <c r="G325" s="12"/>
      <c r="H325" t="s">
        <v>80</v>
      </c>
      <c r="I325" s="12">
        <f>E324</f>
        <v>867.66991999999993</v>
      </c>
      <c r="J325" s="12">
        <f>I331*16%</f>
        <v>688000</v>
      </c>
      <c r="N325" s="6" t="s">
        <v>158</v>
      </c>
      <c r="O325" s="2" t="s">
        <v>507</v>
      </c>
      <c r="P325" s="2" t="s">
        <v>506</v>
      </c>
    </row>
    <row r="326" spans="1:16" x14ac:dyDescent="0.25">
      <c r="A326" s="468" t="s">
        <v>246</v>
      </c>
      <c r="B326" s="468"/>
      <c r="C326" s="468"/>
      <c r="D326" s="468"/>
      <c r="E326" s="468"/>
      <c r="F326" s="468"/>
      <c r="G326" s="12"/>
      <c r="H326" t="s">
        <v>53</v>
      </c>
      <c r="I326" s="12">
        <f>F324</f>
        <v>64745.87</v>
      </c>
      <c r="J326" s="12">
        <f>I331*11%</f>
        <v>473000</v>
      </c>
      <c r="N326" s="100" t="s">
        <v>73</v>
      </c>
      <c r="O326" s="2" t="s">
        <v>504</v>
      </c>
      <c r="P326" s="2" t="s">
        <v>505</v>
      </c>
    </row>
    <row r="327" spans="1:16" x14ac:dyDescent="0.25">
      <c r="A327" s="13"/>
      <c r="B327" s="13"/>
      <c r="C327" s="13"/>
      <c r="D327" s="13"/>
      <c r="E327" s="13"/>
      <c r="F327" s="13"/>
      <c r="G327" s="12"/>
    </row>
    <row r="328" spans="1:16" x14ac:dyDescent="0.25">
      <c r="C328" s="2">
        <v>7200</v>
      </c>
      <c r="D328" s="14">
        <v>3467</v>
      </c>
      <c r="E328" s="14">
        <v>2000</v>
      </c>
      <c r="F328" s="2">
        <v>22</v>
      </c>
      <c r="I328" s="11">
        <v>2000000</v>
      </c>
    </row>
    <row r="329" spans="1:16" x14ac:dyDescent="0.25">
      <c r="C329" s="1" t="s">
        <v>186</v>
      </c>
      <c r="D329" s="1" t="s">
        <v>76</v>
      </c>
      <c r="E329" s="1" t="s">
        <v>77</v>
      </c>
      <c r="F329" s="1" t="s">
        <v>53</v>
      </c>
      <c r="I329" s="11">
        <v>1500000</v>
      </c>
    </row>
    <row r="330" spans="1:16" x14ac:dyDescent="0.25">
      <c r="A330" s="506" t="s">
        <v>243</v>
      </c>
      <c r="B330" s="507"/>
      <c r="C330" s="113">
        <f>I23+J23</f>
        <v>2270410.04</v>
      </c>
      <c r="D330" s="113">
        <f>I24+J24</f>
        <v>1332631.9800000002</v>
      </c>
      <c r="E330" s="113">
        <f>I25+J25</f>
        <v>789707.84</v>
      </c>
      <c r="F330" s="113">
        <f>I26</f>
        <v>146924.14000000001</v>
      </c>
      <c r="G330" s="11"/>
      <c r="I330" s="11">
        <v>800000</v>
      </c>
    </row>
    <row r="331" spans="1:16" x14ac:dyDescent="0.25">
      <c r="A331" s="508" t="s">
        <v>244</v>
      </c>
      <c r="B331" s="509"/>
      <c r="C331" s="114">
        <f>E264</f>
        <v>1024555</v>
      </c>
      <c r="D331" s="114">
        <f>G264</f>
        <v>613328</v>
      </c>
      <c r="E331" s="114">
        <f>I264</f>
        <v>257632</v>
      </c>
      <c r="F331" s="114">
        <f>K264</f>
        <v>804485</v>
      </c>
      <c r="I331" s="116">
        <f>I328+I329+I330</f>
        <v>4300000</v>
      </c>
      <c r="J331" s="117" t="s">
        <v>248</v>
      </c>
    </row>
    <row r="332" spans="1:16" x14ac:dyDescent="0.25">
      <c r="A332" s="474" t="s">
        <v>248</v>
      </c>
      <c r="B332" s="475"/>
      <c r="C332" s="115">
        <f>J322</f>
        <v>1978000</v>
      </c>
      <c r="D332" s="115">
        <f>J324</f>
        <v>1161000</v>
      </c>
      <c r="E332" s="115">
        <f>J325</f>
        <v>688000</v>
      </c>
      <c r="F332" s="115">
        <f>J326</f>
        <v>473000</v>
      </c>
      <c r="I332" s="116"/>
      <c r="J332" s="117"/>
    </row>
    <row r="333" spans="1:16" x14ac:dyDescent="0.25">
      <c r="A333" s="505" t="s">
        <v>245</v>
      </c>
      <c r="B333" s="465"/>
      <c r="C333" s="15">
        <f>SUM(C330:C332)</f>
        <v>5272965.04</v>
      </c>
      <c r="D333" s="15">
        <f>D330+D331+D332</f>
        <v>3106959.9800000004</v>
      </c>
      <c r="E333" s="15">
        <f>E330+E331+E332</f>
        <v>1735339.8399999999</v>
      </c>
      <c r="F333" s="15">
        <f>F330+F331+F332</f>
        <v>1424409.1400000001</v>
      </c>
      <c r="G333" s="12"/>
    </row>
  </sheetData>
  <mergeCells count="59">
    <mergeCell ref="A333:B333"/>
    <mergeCell ref="A321:B321"/>
    <mergeCell ref="A322:B322"/>
    <mergeCell ref="A324:B324"/>
    <mergeCell ref="A326:F326"/>
    <mergeCell ref="A330:B330"/>
    <mergeCell ref="A331:B331"/>
    <mergeCell ref="A318:F318"/>
    <mergeCell ref="D222:H222"/>
    <mergeCell ref="F224:F225"/>
    <mergeCell ref="D230:I230"/>
    <mergeCell ref="D231:D232"/>
    <mergeCell ref="F231:I231"/>
    <mergeCell ref="A317:F317"/>
    <mergeCell ref="N296:R296"/>
    <mergeCell ref="A294:I294"/>
    <mergeCell ref="A298:G298"/>
    <mergeCell ref="A302:G302"/>
    <mergeCell ref="A313:G313"/>
    <mergeCell ref="R313:V313"/>
    <mergeCell ref="D147:I147"/>
    <mergeCell ref="F216:F217"/>
    <mergeCell ref="D157:J157"/>
    <mergeCell ref="D158:D159"/>
    <mergeCell ref="E158:F158"/>
    <mergeCell ref="J158:N158"/>
    <mergeCell ref="D173:I173"/>
    <mergeCell ref="E175:F175"/>
    <mergeCell ref="F188:F189"/>
    <mergeCell ref="F194:F195"/>
    <mergeCell ref="D199:I199"/>
    <mergeCell ref="E201:F201"/>
    <mergeCell ref="D214:H214"/>
    <mergeCell ref="D86:J86"/>
    <mergeCell ref="D103:H103"/>
    <mergeCell ref="D120:G120"/>
    <mergeCell ref="D132:G132"/>
    <mergeCell ref="D140:G140"/>
    <mergeCell ref="D72:F72"/>
    <mergeCell ref="O72:P72"/>
    <mergeCell ref="E73:F73"/>
    <mergeCell ref="G73:H73"/>
    <mergeCell ref="I73:J73"/>
    <mergeCell ref="O66:P66"/>
    <mergeCell ref="A323:B323"/>
    <mergeCell ref="A332:B332"/>
    <mergeCell ref="D20:G20"/>
    <mergeCell ref="D21:G21"/>
    <mergeCell ref="D27:F27"/>
    <mergeCell ref="O64:P64"/>
    <mergeCell ref="O65:P65"/>
    <mergeCell ref="O67:P67"/>
    <mergeCell ref="O68:P68"/>
    <mergeCell ref="O69:P69"/>
    <mergeCell ref="O70:P70"/>
    <mergeCell ref="D71:K71"/>
    <mergeCell ref="O71:P71"/>
    <mergeCell ref="D148:D149"/>
    <mergeCell ref="F148:I148"/>
  </mergeCells>
  <pageMargins left="0.7" right="0.7" top="0.75" bottom="0.75" header="0.3" footer="0.3"/>
  <ignoredErrors>
    <ignoredError sqref="E135" 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47E9B-ED9D-4267-8783-237D7A42BBB1}">
  <dimension ref="C3:P12"/>
  <sheetViews>
    <sheetView workbookViewId="0">
      <selection activeCell="M17" sqref="M17"/>
    </sheetView>
  </sheetViews>
  <sheetFormatPr baseColWidth="10" defaultRowHeight="15" x14ac:dyDescent="0.25"/>
  <cols>
    <col min="3" max="3" width="11.5703125" customWidth="1"/>
    <col min="4" max="4" width="10.28515625" customWidth="1"/>
    <col min="5" max="5" width="9.7109375" customWidth="1"/>
    <col min="6" max="6" width="11.5703125" customWidth="1"/>
    <col min="7" max="7" width="6.7109375" customWidth="1"/>
    <col min="8" max="8" width="11" customWidth="1"/>
    <col min="9" max="9" width="8.28515625" customWidth="1"/>
    <col min="10" max="10" width="10.42578125" customWidth="1"/>
    <col min="11" max="11" width="9.85546875" customWidth="1"/>
    <col min="12" max="12" width="7" customWidth="1"/>
    <col min="13" max="13" width="10.28515625" customWidth="1"/>
    <col min="14" max="14" width="8" customWidth="1"/>
    <col min="15" max="15" width="11.28515625" customWidth="1"/>
  </cols>
  <sheetData>
    <row r="3" spans="3:16" x14ac:dyDescent="0.25">
      <c r="C3" s="476" t="s">
        <v>55</v>
      </c>
      <c r="D3" s="476"/>
      <c r="E3" s="476"/>
      <c r="F3" s="476"/>
      <c r="G3" s="476"/>
      <c r="H3" s="476"/>
      <c r="I3" s="476"/>
      <c r="J3" s="476"/>
      <c r="N3" s="471"/>
      <c r="O3" s="471"/>
    </row>
    <row r="4" spans="3:16" x14ac:dyDescent="0.25">
      <c r="C4" s="481" t="s">
        <v>56</v>
      </c>
      <c r="D4" s="481"/>
      <c r="E4" s="481"/>
      <c r="N4" s="471"/>
      <c r="O4" s="471"/>
    </row>
    <row r="5" spans="3:16" ht="75" x14ac:dyDescent="0.25">
      <c r="C5" s="17" t="s">
        <v>516</v>
      </c>
      <c r="D5" s="482" t="s">
        <v>58</v>
      </c>
      <c r="E5" s="482"/>
      <c r="F5" s="483" t="s">
        <v>59</v>
      </c>
      <c r="G5" s="483"/>
      <c r="H5" s="483" t="s">
        <v>60</v>
      </c>
      <c r="I5" s="483"/>
      <c r="J5" s="18" t="s">
        <v>61</v>
      </c>
      <c r="K5" s="18" t="s">
        <v>62</v>
      </c>
      <c r="L5" s="18"/>
      <c r="M5" s="18" t="s">
        <v>63</v>
      </c>
      <c r="N5" s="18"/>
      <c r="O5" s="18" t="s">
        <v>35</v>
      </c>
    </row>
    <row r="6" spans="3:16" x14ac:dyDescent="0.25">
      <c r="C6" s="2" t="s">
        <v>517</v>
      </c>
      <c r="D6" s="19" t="s">
        <v>65</v>
      </c>
      <c r="E6" s="19" t="s">
        <v>66</v>
      </c>
      <c r="F6" s="19" t="s">
        <v>65</v>
      </c>
      <c r="G6" s="19" t="s">
        <v>66</v>
      </c>
      <c r="H6" s="19" t="s">
        <v>65</v>
      </c>
      <c r="I6" s="19" t="s">
        <v>66</v>
      </c>
      <c r="J6" s="19" t="s">
        <v>65</v>
      </c>
      <c r="K6" s="19" t="s">
        <v>65</v>
      </c>
      <c r="L6" s="19" t="s">
        <v>66</v>
      </c>
      <c r="M6" s="19" t="s">
        <v>65</v>
      </c>
      <c r="N6" s="19" t="s">
        <v>66</v>
      </c>
      <c r="O6" s="2"/>
    </row>
    <row r="7" spans="3:16" x14ac:dyDescent="0.25">
      <c r="C7" s="20" t="s">
        <v>516</v>
      </c>
      <c r="D7" s="21" t="s">
        <v>67</v>
      </c>
      <c r="E7" s="21"/>
      <c r="F7" s="21" t="s">
        <v>67</v>
      </c>
      <c r="G7" s="21"/>
      <c r="H7" s="21" t="s">
        <v>67</v>
      </c>
      <c r="I7" s="21"/>
      <c r="J7" s="21" t="s">
        <v>67</v>
      </c>
      <c r="K7" s="21" t="s">
        <v>68</v>
      </c>
      <c r="L7" s="21"/>
      <c r="M7" s="21" t="s">
        <v>67</v>
      </c>
      <c r="N7" s="21"/>
      <c r="O7" s="21"/>
    </row>
    <row r="8" spans="3:16" ht="30" x14ac:dyDescent="0.25">
      <c r="C8" s="202" t="s">
        <v>69</v>
      </c>
      <c r="D8" s="22">
        <f>'COSTOS ABC PANADERÍA '!E76</f>
        <v>3600000</v>
      </c>
      <c r="E8" s="21"/>
      <c r="F8" s="22">
        <f>F12</f>
        <v>1500000</v>
      </c>
      <c r="G8" s="21"/>
      <c r="H8" s="22">
        <f>H12</f>
        <v>2700000</v>
      </c>
      <c r="I8" s="21"/>
      <c r="J8" s="22">
        <f>J12</f>
        <v>2000000</v>
      </c>
      <c r="K8" s="22">
        <f>K12</f>
        <v>500000</v>
      </c>
      <c r="L8" s="21"/>
      <c r="M8" s="22">
        <f>M12</f>
        <v>800000</v>
      </c>
      <c r="N8" s="21"/>
      <c r="O8" s="22">
        <f>SUM(D8:M8)</f>
        <v>11100000</v>
      </c>
      <c r="P8" s="201" t="s">
        <v>518</v>
      </c>
    </row>
    <row r="9" spans="3:16" x14ac:dyDescent="0.25">
      <c r="C9" s="2" t="s">
        <v>71</v>
      </c>
      <c r="D9" s="14">
        <f>'COSTOS ABC PANADERÍA '!E77</f>
        <v>1500000</v>
      </c>
      <c r="E9" s="23">
        <f>D9/D8</f>
        <v>0.41666666666666669</v>
      </c>
      <c r="F9" s="14">
        <v>1500000</v>
      </c>
      <c r="G9" s="24">
        <v>1</v>
      </c>
      <c r="H9" s="14">
        <v>0</v>
      </c>
      <c r="I9" s="24">
        <f>H9/H12</f>
        <v>0</v>
      </c>
      <c r="J9" s="14">
        <v>0</v>
      </c>
      <c r="K9" s="14">
        <v>150000</v>
      </c>
      <c r="L9" s="24">
        <v>0.2</v>
      </c>
      <c r="M9" s="14"/>
      <c r="N9" s="24"/>
      <c r="O9" s="15">
        <f>+D9+F9+K9</f>
        <v>3150000</v>
      </c>
    </row>
    <row r="10" spans="3:16" x14ac:dyDescent="0.25">
      <c r="C10" s="2" t="s">
        <v>72</v>
      </c>
      <c r="D10" s="14">
        <v>1600000</v>
      </c>
      <c r="E10" s="24">
        <f>D10/D8</f>
        <v>0.44444444444444442</v>
      </c>
      <c r="F10" s="2"/>
      <c r="G10" s="2"/>
      <c r="H10" s="14">
        <v>2700000</v>
      </c>
      <c r="I10" s="24">
        <f>H10/H12</f>
        <v>1</v>
      </c>
      <c r="J10" s="14">
        <v>2000000</v>
      </c>
      <c r="K10" s="14">
        <v>250000</v>
      </c>
      <c r="L10" s="24">
        <v>0.7</v>
      </c>
      <c r="M10" s="14"/>
      <c r="N10" s="24"/>
      <c r="O10" s="15">
        <f>D10+H10+J10+K10</f>
        <v>6550000</v>
      </c>
    </row>
    <row r="11" spans="3:16" x14ac:dyDescent="0.25">
      <c r="C11" s="2" t="s">
        <v>73</v>
      </c>
      <c r="D11" s="14">
        <v>500000</v>
      </c>
      <c r="E11" s="24">
        <f>D11/D8</f>
        <v>0.1388888888888889</v>
      </c>
      <c r="F11" s="14"/>
      <c r="G11" s="24"/>
      <c r="H11" s="14">
        <v>0</v>
      </c>
      <c r="I11" s="24">
        <f>H11/H12</f>
        <v>0</v>
      </c>
      <c r="J11" s="14">
        <v>0</v>
      </c>
      <c r="K11" s="14">
        <v>100000</v>
      </c>
      <c r="L11" s="24">
        <v>0.1</v>
      </c>
      <c r="M11" s="14">
        <v>800000</v>
      </c>
      <c r="N11" s="24">
        <v>1</v>
      </c>
      <c r="O11" s="15">
        <f>D11+K11+M11</f>
        <v>1400000</v>
      </c>
    </row>
    <row r="12" spans="3:16" x14ac:dyDescent="0.25">
      <c r="C12" s="5" t="s">
        <v>74</v>
      </c>
      <c r="D12" s="25">
        <f>SUM(D9:D11)</f>
        <v>3600000</v>
      </c>
      <c r="E12" s="26">
        <f>SUM(E9:E11)</f>
        <v>1</v>
      </c>
      <c r="F12" s="25">
        <f>F9</f>
        <v>1500000</v>
      </c>
      <c r="G12" s="27">
        <f>G9</f>
        <v>1</v>
      </c>
      <c r="H12" s="28">
        <f>SUM(H9:H11)</f>
        <v>2700000</v>
      </c>
      <c r="I12" s="26">
        <f>SUM(I9:I11)</f>
        <v>1</v>
      </c>
      <c r="J12" s="28">
        <f>SUM(J9:J11)</f>
        <v>2000000</v>
      </c>
      <c r="K12" s="25">
        <f>K11+K10+K9</f>
        <v>500000</v>
      </c>
      <c r="L12" s="26">
        <f>SUM(L9:L11)</f>
        <v>0.99999999999999989</v>
      </c>
      <c r="M12" s="25">
        <f>M11+M10+M9</f>
        <v>800000</v>
      </c>
      <c r="N12" s="26">
        <f>SUM(N9:N11)</f>
        <v>1</v>
      </c>
      <c r="O12" s="15">
        <f>SUM(O9:O11)</f>
        <v>11100000</v>
      </c>
    </row>
  </sheetData>
  <mergeCells count="7">
    <mergeCell ref="C3:J3"/>
    <mergeCell ref="N3:O3"/>
    <mergeCell ref="C4:E4"/>
    <mergeCell ref="N4:O4"/>
    <mergeCell ref="D5:E5"/>
    <mergeCell ref="F5:G5"/>
    <mergeCell ref="H5:I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CF3C2-B783-408C-9A56-54AAB7BAECF8}">
  <dimension ref="B2:W171"/>
  <sheetViews>
    <sheetView topLeftCell="B152" workbookViewId="0">
      <selection activeCell="W169" sqref="W169"/>
    </sheetView>
  </sheetViews>
  <sheetFormatPr baseColWidth="10" defaultRowHeight="15" x14ac:dyDescent="0.25"/>
  <cols>
    <col min="1" max="1" width="6" customWidth="1"/>
    <col min="2" max="2" width="16.42578125" customWidth="1"/>
    <col min="21" max="21" width="13" bestFit="1" customWidth="1"/>
    <col min="28" max="28" width="13" bestFit="1" customWidth="1"/>
  </cols>
  <sheetData>
    <row r="2" spans="2:6" x14ac:dyDescent="0.25">
      <c r="C2" s="5" t="s">
        <v>494</v>
      </c>
      <c r="D2" s="5" t="s">
        <v>492</v>
      </c>
      <c r="E2" s="5" t="s">
        <v>587</v>
      </c>
      <c r="F2" s="5" t="s">
        <v>493</v>
      </c>
    </row>
    <row r="3" spans="2:6" ht="15.75" x14ac:dyDescent="0.3">
      <c r="B3" s="190" t="s">
        <v>485</v>
      </c>
      <c r="C3" s="191">
        <f>CONTABILIZACIÓN!D48</f>
        <v>1196100</v>
      </c>
      <c r="D3" s="14">
        <f>C3*5%</f>
        <v>59805</v>
      </c>
      <c r="E3" s="14"/>
      <c r="F3" s="191">
        <f>C3+D3</f>
        <v>1255905</v>
      </c>
    </row>
    <row r="4" spans="2:6" ht="15.75" x14ac:dyDescent="0.3">
      <c r="B4" s="190" t="s">
        <v>486</v>
      </c>
      <c r="C4" s="191">
        <f>CONTABILIZACIÓN!D55</f>
        <v>29243.697478991598</v>
      </c>
      <c r="D4" s="14">
        <v>0</v>
      </c>
      <c r="E4" s="14">
        <f>C4*19%</f>
        <v>5556.3025210084033</v>
      </c>
      <c r="F4" s="191">
        <f>C4+D4+E4</f>
        <v>34800</v>
      </c>
    </row>
    <row r="5" spans="2:6" ht="15.75" x14ac:dyDescent="0.3">
      <c r="B5" s="190" t="s">
        <v>487</v>
      </c>
      <c r="C5" s="191">
        <f>CONTABILIZACIÓN!D62</f>
        <v>294000</v>
      </c>
      <c r="D5" s="14">
        <v>0</v>
      </c>
      <c r="E5" s="14">
        <f>C5*19%</f>
        <v>55860</v>
      </c>
      <c r="F5" s="191">
        <f>C5+D5+E5</f>
        <v>349860</v>
      </c>
    </row>
    <row r="6" spans="2:6" ht="15.75" x14ac:dyDescent="0.3">
      <c r="B6" s="190" t="s">
        <v>488</v>
      </c>
      <c r="C6" s="191">
        <f>CONTABILIZACIÓN!D70</f>
        <v>100800</v>
      </c>
      <c r="D6" s="14">
        <v>0</v>
      </c>
      <c r="E6" s="14">
        <f>C6*19%</f>
        <v>19152</v>
      </c>
      <c r="F6" s="191">
        <f>C6+D6+E6</f>
        <v>119952</v>
      </c>
    </row>
    <row r="7" spans="2:6" ht="15.75" x14ac:dyDescent="0.3">
      <c r="B7" s="190" t="s">
        <v>491</v>
      </c>
      <c r="C7" s="191">
        <f>CONTABILIZACIÓN!D78</f>
        <v>25400</v>
      </c>
      <c r="D7" s="2">
        <v>0</v>
      </c>
      <c r="E7" s="2"/>
      <c r="F7" s="191">
        <f>C7+D7</f>
        <v>25400</v>
      </c>
    </row>
    <row r="8" spans="2:6" ht="15.75" x14ac:dyDescent="0.3">
      <c r="B8" s="190" t="s">
        <v>489</v>
      </c>
      <c r="C8" s="191">
        <f>CONTABILIZACIÓN!D84</f>
        <v>185900</v>
      </c>
      <c r="D8" s="14">
        <f>'MATERIA PRIMA'!C8*5%</f>
        <v>9295</v>
      </c>
      <c r="E8" s="14"/>
      <c r="F8" s="191">
        <f>C8+D8</f>
        <v>195195</v>
      </c>
    </row>
    <row r="9" spans="2:6" ht="15.75" x14ac:dyDescent="0.3">
      <c r="B9" s="190" t="s">
        <v>490</v>
      </c>
      <c r="C9" s="191">
        <f>CONTABILIZACIÓN!D115</f>
        <v>84000</v>
      </c>
      <c r="D9" s="2">
        <v>0</v>
      </c>
      <c r="E9" s="2"/>
      <c r="F9" s="191">
        <f>C9+D9</f>
        <v>84000</v>
      </c>
    </row>
    <row r="10" spans="2:6" ht="15.75" x14ac:dyDescent="0.3">
      <c r="B10" s="190" t="s">
        <v>585</v>
      </c>
      <c r="C10" s="191">
        <f>CONTABILIZACIÓN!D121</f>
        <v>448000</v>
      </c>
      <c r="D10" s="2">
        <v>0</v>
      </c>
      <c r="E10" s="2"/>
      <c r="F10" s="191">
        <f>C10</f>
        <v>448000</v>
      </c>
    </row>
    <row r="11" spans="2:6" ht="15.75" x14ac:dyDescent="0.3">
      <c r="B11" s="190" t="s">
        <v>586</v>
      </c>
      <c r="C11" s="191">
        <f>CONTABILIZACIÓN!D126</f>
        <v>150000</v>
      </c>
      <c r="D11" s="2">
        <v>0</v>
      </c>
      <c r="E11" s="2"/>
      <c r="F11" s="191">
        <f>C11</f>
        <v>150000</v>
      </c>
    </row>
    <row r="12" spans="2:6" ht="15.75" x14ac:dyDescent="0.3">
      <c r="B12" s="192" t="s">
        <v>175</v>
      </c>
      <c r="C12" s="191">
        <f>SUM(C3:C11)</f>
        <v>2513443.6974789919</v>
      </c>
      <c r="D12" s="15">
        <f>SUM(D3:D11)</f>
        <v>69100</v>
      </c>
      <c r="E12" s="15">
        <f>SUM(E3:E11)</f>
        <v>80568.302521008402</v>
      </c>
      <c r="F12" s="191">
        <f>C12+D12+E12</f>
        <v>2663112.0000000005</v>
      </c>
    </row>
    <row r="13" spans="2:6" x14ac:dyDescent="0.25">
      <c r="F13" s="163">
        <f>C13+D13</f>
        <v>0</v>
      </c>
    </row>
    <row r="14" spans="2:6" x14ac:dyDescent="0.25">
      <c r="F14" s="163">
        <f>C14+D14</f>
        <v>0</v>
      </c>
    </row>
    <row r="154" spans="21:23" x14ac:dyDescent="0.25">
      <c r="W154">
        <v>804485</v>
      </c>
    </row>
    <row r="155" spans="21:23" x14ac:dyDescent="0.25">
      <c r="W155">
        <f>W154/35925</f>
        <v>22.393458594293666</v>
      </c>
    </row>
    <row r="156" spans="21:23" x14ac:dyDescent="0.25">
      <c r="U156" s="11"/>
    </row>
    <row r="157" spans="21:23" x14ac:dyDescent="0.25">
      <c r="U157" s="12"/>
    </row>
    <row r="158" spans="21:23" x14ac:dyDescent="0.25">
      <c r="U158" s="12"/>
    </row>
    <row r="159" spans="21:23" x14ac:dyDescent="0.25">
      <c r="U159" s="12"/>
    </row>
    <row r="164" spans="22:23" x14ac:dyDescent="0.25">
      <c r="V164" t="s">
        <v>588</v>
      </c>
    </row>
    <row r="166" spans="22:23" x14ac:dyDescent="0.25">
      <c r="V166" t="s">
        <v>589</v>
      </c>
      <c r="W166" s="11">
        <v>804855</v>
      </c>
    </row>
    <row r="167" spans="22:23" x14ac:dyDescent="0.25">
      <c r="V167" t="s">
        <v>76</v>
      </c>
      <c r="W167" s="11">
        <v>613328</v>
      </c>
    </row>
    <row r="168" spans="22:23" x14ac:dyDescent="0.25">
      <c r="V168" t="s">
        <v>44</v>
      </c>
      <c r="W168" s="11">
        <v>1024555</v>
      </c>
    </row>
    <row r="169" spans="22:23" x14ac:dyDescent="0.25">
      <c r="V169" t="s">
        <v>80</v>
      </c>
      <c r="W169" s="11">
        <v>257632</v>
      </c>
    </row>
    <row r="170" spans="22:23" x14ac:dyDescent="0.25">
      <c r="W170" s="12">
        <f>SUM(W166:W169)</f>
        <v>2700370</v>
      </c>
    </row>
    <row r="171" spans="22:23" x14ac:dyDescent="0.25">
      <c r="W171" s="1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99640-3182-440D-9098-4D5D8E189EDE}">
  <dimension ref="D4:G11"/>
  <sheetViews>
    <sheetView workbookViewId="0">
      <selection activeCell="I8" sqref="I8"/>
    </sheetView>
  </sheetViews>
  <sheetFormatPr baseColWidth="10" defaultRowHeight="15" x14ac:dyDescent="0.25"/>
  <cols>
    <col min="4" max="4" width="15.42578125" customWidth="1"/>
    <col min="5" max="5" width="23.7109375" customWidth="1"/>
    <col min="6" max="6" width="13" bestFit="1" customWidth="1"/>
    <col min="7" max="7" width="16.7109375" customWidth="1"/>
  </cols>
  <sheetData>
    <row r="4" spans="4:7" ht="30" x14ac:dyDescent="0.25">
      <c r="D4" s="188" t="s">
        <v>12</v>
      </c>
      <c r="E4" s="188" t="s">
        <v>459</v>
      </c>
      <c r="F4" s="189" t="s">
        <v>65</v>
      </c>
      <c r="G4" s="188" t="s">
        <v>465</v>
      </c>
    </row>
    <row r="5" spans="4:7" ht="30" x14ac:dyDescent="0.25">
      <c r="D5" s="2" t="s">
        <v>15</v>
      </c>
      <c r="E5" s="6" t="s">
        <v>654</v>
      </c>
      <c r="F5" s="14">
        <v>3600000</v>
      </c>
      <c r="G5" s="24">
        <f>F5/F11</f>
        <v>0.32432432432432434</v>
      </c>
    </row>
    <row r="6" spans="4:7" ht="30" x14ac:dyDescent="0.25">
      <c r="D6" s="6" t="s">
        <v>18</v>
      </c>
      <c r="E6" s="3" t="s">
        <v>463</v>
      </c>
      <c r="F6" s="14">
        <v>2000000</v>
      </c>
      <c r="G6" s="24">
        <f>F6/F11</f>
        <v>0.18018018018018017</v>
      </c>
    </row>
    <row r="7" spans="4:7" ht="30" x14ac:dyDescent="0.25">
      <c r="D7" s="6" t="s">
        <v>20</v>
      </c>
      <c r="E7" s="6" t="s">
        <v>655</v>
      </c>
      <c r="F7" s="14">
        <v>1500000</v>
      </c>
      <c r="G7" s="24">
        <f>F7/F11</f>
        <v>0.13513513513513514</v>
      </c>
    </row>
    <row r="8" spans="4:7" ht="45" x14ac:dyDescent="0.25">
      <c r="D8" s="6" t="s">
        <v>23</v>
      </c>
      <c r="E8" s="6" t="s">
        <v>462</v>
      </c>
      <c r="F8" s="14">
        <v>2700000</v>
      </c>
      <c r="G8" s="24">
        <f>F8/F11</f>
        <v>0.24324324324324326</v>
      </c>
    </row>
    <row r="9" spans="4:7" ht="30" x14ac:dyDescent="0.25">
      <c r="D9" s="6" t="s">
        <v>25</v>
      </c>
      <c r="E9" s="6" t="s">
        <v>460</v>
      </c>
      <c r="F9" s="14">
        <v>500000</v>
      </c>
      <c r="G9" s="24">
        <f>F9/F11</f>
        <v>4.5045045045045043E-2</v>
      </c>
    </row>
    <row r="10" spans="4:7" x14ac:dyDescent="0.25">
      <c r="D10" s="6" t="s">
        <v>10</v>
      </c>
      <c r="E10" s="6" t="s">
        <v>461</v>
      </c>
      <c r="F10" s="14">
        <v>800000</v>
      </c>
      <c r="G10" s="24">
        <f>F10/F11</f>
        <v>7.2072072072072071E-2</v>
      </c>
    </row>
    <row r="11" spans="4:7" x14ac:dyDescent="0.25">
      <c r="E11" s="4" t="s">
        <v>35</v>
      </c>
      <c r="F11" s="28">
        <f>SUM(F5:F10)</f>
        <v>11100000</v>
      </c>
      <c r="G11" s="26">
        <f>SUM(G5:G10)</f>
        <v>0.99999999999999989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0F840-292C-42B7-B671-2BFB4E105F79}">
  <sheetPr>
    <tabColor theme="9" tint="-0.499984740745262"/>
  </sheetPr>
  <dimension ref="A1:R73"/>
  <sheetViews>
    <sheetView topLeftCell="A16" zoomScale="85" zoomScaleNormal="85" workbookViewId="0">
      <selection activeCell="J27" sqref="J27"/>
    </sheetView>
  </sheetViews>
  <sheetFormatPr baseColWidth="10" defaultColWidth="11.42578125" defaultRowHeight="15" x14ac:dyDescent="0.3"/>
  <cols>
    <col min="1" max="1" width="11.42578125" style="122"/>
    <col min="2" max="2" width="52" style="122" bestFit="1" customWidth="1"/>
    <col min="3" max="3" width="23" style="121" bestFit="1" customWidth="1"/>
    <col min="4" max="7" width="17.140625" style="121" bestFit="1" customWidth="1"/>
    <col min="8" max="8" width="15.7109375" style="121" bestFit="1" customWidth="1"/>
    <col min="9" max="10" width="17.140625" style="121" bestFit="1" customWidth="1"/>
    <col min="11" max="11" width="17.85546875" style="120" customWidth="1"/>
    <col min="12" max="12" width="18.85546875" style="121" customWidth="1"/>
    <col min="13" max="13" width="17.140625" style="122" customWidth="1"/>
    <col min="14" max="14" width="16.7109375" style="122" customWidth="1"/>
    <col min="15" max="15" width="15.85546875" style="122" customWidth="1"/>
    <col min="16" max="16" width="15.28515625" style="122" customWidth="1"/>
    <col min="17" max="17" width="13.5703125" style="122" customWidth="1"/>
    <col min="18" max="18" width="16.85546875" style="122" customWidth="1"/>
    <col min="19" max="16384" width="11.42578125" style="122"/>
  </cols>
  <sheetData>
    <row r="1" spans="1:18" x14ac:dyDescent="0.3">
      <c r="A1" s="513" t="s">
        <v>251</v>
      </c>
      <c r="B1" s="513"/>
      <c r="C1" s="513"/>
      <c r="D1" s="513"/>
      <c r="E1" s="513"/>
      <c r="F1" s="513" t="s">
        <v>251</v>
      </c>
      <c r="G1" s="513"/>
      <c r="H1" s="513"/>
      <c r="I1" s="513"/>
      <c r="J1" s="513"/>
    </row>
    <row r="2" spans="1:18" x14ac:dyDescent="0.3">
      <c r="A2" s="513" t="s">
        <v>252</v>
      </c>
      <c r="B2" s="513"/>
      <c r="C2" s="513"/>
      <c r="D2" s="513"/>
      <c r="E2" s="513"/>
      <c r="F2" s="513" t="s">
        <v>252</v>
      </c>
      <c r="G2" s="513"/>
      <c r="H2" s="513"/>
      <c r="I2" s="513"/>
      <c r="J2" s="513"/>
    </row>
    <row r="3" spans="1:18" x14ac:dyDescent="0.3">
      <c r="A3" s="514" t="s">
        <v>253</v>
      </c>
      <c r="B3" s="514"/>
      <c r="C3" s="514"/>
      <c r="D3" s="514"/>
      <c r="E3" s="514"/>
      <c r="F3" s="514" t="s">
        <v>253</v>
      </c>
      <c r="G3" s="514"/>
      <c r="H3" s="514"/>
      <c r="I3" s="514"/>
      <c r="J3" s="514"/>
    </row>
    <row r="4" spans="1:18" x14ac:dyDescent="0.3">
      <c r="A4" s="514" t="s">
        <v>254</v>
      </c>
      <c r="B4" s="514"/>
      <c r="C4" s="514"/>
      <c r="D4" s="514"/>
      <c r="E4" s="514"/>
      <c r="F4" s="514" t="s">
        <v>254</v>
      </c>
      <c r="G4" s="514"/>
      <c r="H4" s="514"/>
      <c r="I4" s="514"/>
      <c r="J4" s="514"/>
    </row>
    <row r="5" spans="1:18" x14ac:dyDescent="0.3">
      <c r="A5" s="514" t="s">
        <v>255</v>
      </c>
      <c r="B5" s="514"/>
      <c r="C5" s="514"/>
      <c r="D5" s="514"/>
      <c r="E5" s="514"/>
      <c r="F5" s="514" t="s">
        <v>255</v>
      </c>
      <c r="G5" s="514"/>
      <c r="H5" s="514"/>
      <c r="I5" s="514"/>
      <c r="J5" s="514"/>
    </row>
    <row r="6" spans="1:18" x14ac:dyDescent="0.3">
      <c r="A6" s="123"/>
      <c r="B6" s="123"/>
      <c r="C6" s="515" t="s">
        <v>256</v>
      </c>
      <c r="D6" s="515"/>
      <c r="E6" s="515"/>
      <c r="F6" s="515"/>
      <c r="G6" s="515"/>
      <c r="H6" s="515"/>
      <c r="I6" s="515"/>
      <c r="J6" s="515"/>
      <c r="K6" s="512" t="s">
        <v>257</v>
      </c>
      <c r="L6" s="512"/>
      <c r="M6" s="512"/>
      <c r="N6" s="512"/>
      <c r="O6" s="512"/>
      <c r="P6" s="512"/>
      <c r="Q6" s="512"/>
      <c r="R6" s="512"/>
    </row>
    <row r="7" spans="1:18" ht="15.75" customHeight="1" x14ac:dyDescent="0.3">
      <c r="A7" s="511" t="s">
        <v>559</v>
      </c>
      <c r="B7" s="511" t="s">
        <v>258</v>
      </c>
      <c r="C7" s="510" t="s">
        <v>259</v>
      </c>
      <c r="D7" s="510"/>
      <c r="E7" s="510" t="s">
        <v>260</v>
      </c>
      <c r="F7" s="510"/>
      <c r="G7" s="510" t="s">
        <v>261</v>
      </c>
      <c r="H7" s="510"/>
      <c r="I7" s="510" t="s">
        <v>262</v>
      </c>
      <c r="J7" s="510"/>
      <c r="K7" s="510" t="s">
        <v>259</v>
      </c>
      <c r="L7" s="510"/>
      <c r="M7" s="510" t="s">
        <v>260</v>
      </c>
      <c r="N7" s="510"/>
      <c r="O7" s="510" t="s">
        <v>261</v>
      </c>
      <c r="P7" s="510"/>
      <c r="Q7" s="510" t="s">
        <v>262</v>
      </c>
      <c r="R7" s="510"/>
    </row>
    <row r="8" spans="1:18" s="119" customFormat="1" x14ac:dyDescent="0.25">
      <c r="A8" s="511"/>
      <c r="B8" s="511"/>
      <c r="C8" s="124" t="s">
        <v>560</v>
      </c>
      <c r="D8" s="124" t="s">
        <v>561</v>
      </c>
      <c r="E8" s="124" t="s">
        <v>649</v>
      </c>
      <c r="F8" s="124" t="s">
        <v>561</v>
      </c>
      <c r="G8" s="124" t="s">
        <v>560</v>
      </c>
      <c r="H8" s="124" t="s">
        <v>561</v>
      </c>
      <c r="I8" s="124" t="s">
        <v>649</v>
      </c>
      <c r="J8" s="124" t="s">
        <v>561</v>
      </c>
      <c r="K8" s="125" t="s">
        <v>560</v>
      </c>
      <c r="L8" s="124" t="s">
        <v>561</v>
      </c>
      <c r="M8" s="124" t="s">
        <v>649</v>
      </c>
      <c r="N8" s="124" t="s">
        <v>561</v>
      </c>
      <c r="O8" s="124" t="s">
        <v>560</v>
      </c>
      <c r="P8" s="124" t="s">
        <v>561</v>
      </c>
      <c r="Q8" s="124" t="s">
        <v>649</v>
      </c>
      <c r="R8" s="124" t="s">
        <v>561</v>
      </c>
    </row>
    <row r="9" spans="1:18" x14ac:dyDescent="0.3">
      <c r="A9" s="126">
        <v>110101</v>
      </c>
      <c r="B9" s="126" t="s">
        <v>263</v>
      </c>
      <c r="C9" s="127">
        <v>3000000</v>
      </c>
      <c r="D9" s="127">
        <v>0</v>
      </c>
      <c r="E9" s="127">
        <f>+C9-D9</f>
        <v>3000000</v>
      </c>
      <c r="F9" s="127"/>
      <c r="G9" s="127">
        <f>E9</f>
        <v>3000000</v>
      </c>
      <c r="H9" s="127"/>
      <c r="I9" s="127">
        <f>+E9</f>
        <v>3000000</v>
      </c>
      <c r="J9" s="127"/>
      <c r="K9" s="128"/>
      <c r="L9" s="127">
        <v>0</v>
      </c>
      <c r="M9" s="127">
        <f>+K9-L9</f>
        <v>0</v>
      </c>
      <c r="N9" s="127"/>
      <c r="O9" s="127">
        <f>M9</f>
        <v>0</v>
      </c>
      <c r="P9" s="127"/>
      <c r="Q9" s="127">
        <f>+M9</f>
        <v>0</v>
      </c>
      <c r="R9" s="127"/>
    </row>
    <row r="10" spans="1:18" x14ac:dyDescent="0.3">
      <c r="A10" s="126">
        <v>111005</v>
      </c>
      <c r="B10" s="126" t="s">
        <v>264</v>
      </c>
      <c r="C10" s="127"/>
      <c r="D10" s="127">
        <v>3000000</v>
      </c>
      <c r="E10" s="127"/>
      <c r="F10" s="127">
        <f t="shared" ref="F10:F21" si="0">D10</f>
        <v>3000000</v>
      </c>
      <c r="G10" s="127"/>
      <c r="H10" s="127">
        <f>F10</f>
        <v>3000000</v>
      </c>
      <c r="I10" s="127"/>
      <c r="J10" s="127">
        <v>3000000</v>
      </c>
      <c r="K10" s="128"/>
      <c r="L10" s="127"/>
      <c r="M10" s="127"/>
      <c r="N10" s="127">
        <f>L10</f>
        <v>0</v>
      </c>
      <c r="O10" s="127"/>
      <c r="P10" s="127">
        <f>N10</f>
        <v>0</v>
      </c>
      <c r="Q10" s="127"/>
      <c r="R10" s="127"/>
    </row>
    <row r="11" spans="1:18" x14ac:dyDescent="0.3">
      <c r="A11" s="126">
        <v>140501</v>
      </c>
      <c r="B11" s="129" t="s">
        <v>519</v>
      </c>
      <c r="C11" s="127">
        <f>CONTABILIZACIÓN!D48</f>
        <v>1196100</v>
      </c>
      <c r="D11" s="127"/>
      <c r="E11" s="127">
        <f t="shared" ref="E11:E19" si="1">C11</f>
        <v>1196100</v>
      </c>
      <c r="F11" s="127"/>
      <c r="G11" s="127">
        <f t="shared" ref="G11:G19" si="2">E11</f>
        <v>1196100</v>
      </c>
      <c r="H11" s="127"/>
      <c r="I11" s="127">
        <f t="shared" ref="I11:I19" si="3">G11</f>
        <v>1196100</v>
      </c>
      <c r="J11" s="127"/>
      <c r="K11" s="128"/>
      <c r="L11" s="127"/>
      <c r="M11" s="127"/>
      <c r="N11" s="127"/>
      <c r="O11" s="127"/>
      <c r="P11" s="127"/>
      <c r="Q11" s="127"/>
      <c r="R11" s="127"/>
    </row>
    <row r="12" spans="1:18" x14ac:dyDescent="0.3">
      <c r="A12" s="126">
        <v>140502</v>
      </c>
      <c r="B12" s="129" t="s">
        <v>520</v>
      </c>
      <c r="C12" s="127">
        <f>CONTABILIZACIÓN!D55</f>
        <v>29243.697478991598</v>
      </c>
      <c r="D12" s="127"/>
      <c r="E12" s="127">
        <f t="shared" si="1"/>
        <v>29243.697478991598</v>
      </c>
      <c r="F12" s="127"/>
      <c r="G12" s="127">
        <f t="shared" si="2"/>
        <v>29243.697478991598</v>
      </c>
      <c r="H12" s="127"/>
      <c r="I12" s="127">
        <f t="shared" si="3"/>
        <v>29243.697478991598</v>
      </c>
      <c r="J12" s="127"/>
      <c r="K12" s="128"/>
      <c r="L12" s="127"/>
      <c r="M12" s="127"/>
      <c r="N12" s="127"/>
      <c r="O12" s="127"/>
      <c r="P12" s="127"/>
      <c r="Q12" s="127"/>
      <c r="R12" s="127"/>
    </row>
    <row r="13" spans="1:18" x14ac:dyDescent="0.3">
      <c r="A13" s="126">
        <v>140403</v>
      </c>
      <c r="B13" s="129" t="s">
        <v>521</v>
      </c>
      <c r="C13" s="127">
        <f>CONTABILIZACIÓN!D62</f>
        <v>294000</v>
      </c>
      <c r="D13" s="127"/>
      <c r="E13" s="127">
        <f t="shared" si="1"/>
        <v>294000</v>
      </c>
      <c r="F13" s="127"/>
      <c r="G13" s="127">
        <f t="shared" si="2"/>
        <v>294000</v>
      </c>
      <c r="H13" s="127"/>
      <c r="I13" s="127">
        <f t="shared" si="3"/>
        <v>294000</v>
      </c>
      <c r="J13" s="127"/>
      <c r="K13" s="128"/>
      <c r="L13" s="127"/>
      <c r="M13" s="127"/>
      <c r="N13" s="127"/>
      <c r="O13" s="127"/>
      <c r="P13" s="127"/>
      <c r="Q13" s="127"/>
      <c r="R13" s="127"/>
    </row>
    <row r="14" spans="1:18" x14ac:dyDescent="0.3">
      <c r="A14" s="126">
        <v>140404</v>
      </c>
      <c r="B14" s="129" t="s">
        <v>524</v>
      </c>
      <c r="C14" s="127">
        <f>CONTABILIZACIÓN!D70</f>
        <v>100800</v>
      </c>
      <c r="D14" s="127"/>
      <c r="E14" s="127">
        <f t="shared" si="1"/>
        <v>100800</v>
      </c>
      <c r="F14" s="127"/>
      <c r="G14" s="127">
        <f t="shared" si="2"/>
        <v>100800</v>
      </c>
      <c r="H14" s="127"/>
      <c r="I14" s="127">
        <f t="shared" si="3"/>
        <v>100800</v>
      </c>
      <c r="J14" s="127"/>
      <c r="K14" s="128"/>
      <c r="L14" s="127"/>
      <c r="M14" s="127"/>
      <c r="N14" s="127"/>
      <c r="O14" s="127"/>
      <c r="P14" s="127"/>
      <c r="Q14" s="127"/>
      <c r="R14" s="127"/>
    </row>
    <row r="15" spans="1:18" x14ac:dyDescent="0.3">
      <c r="A15" s="126">
        <v>140405</v>
      </c>
      <c r="B15" s="129" t="s">
        <v>522</v>
      </c>
      <c r="C15" s="127">
        <f>CONTABILIZACIÓN!D78</f>
        <v>25400</v>
      </c>
      <c r="D15" s="127"/>
      <c r="E15" s="127">
        <f t="shared" si="1"/>
        <v>25400</v>
      </c>
      <c r="F15" s="127"/>
      <c r="G15" s="127">
        <f t="shared" si="2"/>
        <v>25400</v>
      </c>
      <c r="H15" s="127"/>
      <c r="I15" s="127">
        <f t="shared" si="3"/>
        <v>25400</v>
      </c>
      <c r="J15" s="127"/>
      <c r="K15" s="128"/>
      <c r="L15" s="127"/>
      <c r="M15" s="127"/>
      <c r="N15" s="127"/>
      <c r="O15" s="127"/>
      <c r="P15" s="127"/>
      <c r="Q15" s="127"/>
      <c r="R15" s="127"/>
    </row>
    <row r="16" spans="1:18" x14ac:dyDescent="0.3">
      <c r="A16" s="126">
        <v>140406</v>
      </c>
      <c r="B16" s="129" t="s">
        <v>523</v>
      </c>
      <c r="C16" s="127">
        <f>CONTABILIZACIÓN!D84</f>
        <v>185900</v>
      </c>
      <c r="D16" s="127"/>
      <c r="E16" s="127">
        <f t="shared" si="1"/>
        <v>185900</v>
      </c>
      <c r="F16" s="127"/>
      <c r="G16" s="127">
        <f t="shared" si="2"/>
        <v>185900</v>
      </c>
      <c r="H16" s="127"/>
      <c r="I16" s="127">
        <f t="shared" si="3"/>
        <v>185900</v>
      </c>
      <c r="J16" s="127"/>
      <c r="K16" s="128"/>
      <c r="L16" s="127"/>
      <c r="M16" s="127"/>
      <c r="N16" s="127"/>
      <c r="O16" s="127"/>
      <c r="P16" s="127"/>
      <c r="Q16" s="127"/>
      <c r="R16" s="127"/>
    </row>
    <row r="17" spans="1:18" x14ac:dyDescent="0.3">
      <c r="A17" s="126">
        <v>140407</v>
      </c>
      <c r="B17" s="129" t="s">
        <v>525</v>
      </c>
      <c r="C17" s="127">
        <f>CONTABILIZACIÓN!D115</f>
        <v>84000</v>
      </c>
      <c r="D17" s="127"/>
      <c r="E17" s="127">
        <f t="shared" si="1"/>
        <v>84000</v>
      </c>
      <c r="F17" s="127"/>
      <c r="G17" s="127">
        <f t="shared" si="2"/>
        <v>84000</v>
      </c>
      <c r="H17" s="127"/>
      <c r="I17" s="127">
        <f t="shared" si="3"/>
        <v>84000</v>
      </c>
      <c r="J17" s="127"/>
      <c r="K17" s="128"/>
      <c r="L17" s="127"/>
      <c r="M17" s="127"/>
      <c r="N17" s="127"/>
      <c r="O17" s="127"/>
      <c r="P17" s="127"/>
      <c r="Q17" s="127"/>
      <c r="R17" s="127"/>
    </row>
    <row r="18" spans="1:18" x14ac:dyDescent="0.3">
      <c r="A18" s="126">
        <v>140408</v>
      </c>
      <c r="B18" s="129" t="s">
        <v>573</v>
      </c>
      <c r="C18" s="127">
        <f>CONTABILIZACIÓN!D121</f>
        <v>448000</v>
      </c>
      <c r="D18" s="127"/>
      <c r="E18" s="127">
        <f t="shared" si="1"/>
        <v>448000</v>
      </c>
      <c r="F18" s="127"/>
      <c r="G18" s="127">
        <f t="shared" si="2"/>
        <v>448000</v>
      </c>
      <c r="H18" s="127"/>
      <c r="I18" s="127">
        <f t="shared" si="3"/>
        <v>448000</v>
      </c>
      <c r="J18" s="127"/>
      <c r="K18" s="128"/>
      <c r="L18" s="127"/>
      <c r="M18" s="127"/>
      <c r="N18" s="127"/>
      <c r="O18" s="127"/>
      <c r="P18" s="127"/>
      <c r="Q18" s="127"/>
      <c r="R18" s="127"/>
    </row>
    <row r="19" spans="1:18" x14ac:dyDescent="0.3">
      <c r="A19" s="126">
        <v>140409</v>
      </c>
      <c r="B19" s="129" t="s">
        <v>574</v>
      </c>
      <c r="C19" s="127">
        <f>CONTABILIZACIÓN!D126</f>
        <v>150000</v>
      </c>
      <c r="D19" s="127"/>
      <c r="E19" s="127">
        <f t="shared" si="1"/>
        <v>150000</v>
      </c>
      <c r="F19" s="127"/>
      <c r="G19" s="127">
        <f t="shared" si="2"/>
        <v>150000</v>
      </c>
      <c r="H19" s="127"/>
      <c r="I19" s="127">
        <f t="shared" si="3"/>
        <v>150000</v>
      </c>
      <c r="J19" s="127"/>
      <c r="K19" s="128"/>
      <c r="L19" s="127"/>
      <c r="M19" s="127"/>
      <c r="N19" s="127"/>
      <c r="O19" s="127"/>
      <c r="P19" s="127"/>
      <c r="Q19" s="127"/>
      <c r="R19" s="127"/>
    </row>
    <row r="20" spans="1:18" x14ac:dyDescent="0.3">
      <c r="A20" s="126">
        <v>141001</v>
      </c>
      <c r="B20" s="126" t="s">
        <v>265</v>
      </c>
      <c r="C20" s="127"/>
      <c r="D20" s="127">
        <f>'MATERIA PRIMA'!W170</f>
        <v>2700370</v>
      </c>
      <c r="E20" s="127"/>
      <c r="F20" s="127">
        <f t="shared" si="0"/>
        <v>2700370</v>
      </c>
      <c r="G20" s="127"/>
      <c r="H20" s="127">
        <f>F20</f>
        <v>2700370</v>
      </c>
      <c r="I20" s="127"/>
      <c r="J20" s="127">
        <f>H20</f>
        <v>2700370</v>
      </c>
      <c r="K20" s="128"/>
      <c r="L20" s="127"/>
      <c r="M20" s="127"/>
      <c r="N20" s="127"/>
      <c r="O20" s="127"/>
      <c r="P20" s="127"/>
      <c r="Q20" s="127"/>
      <c r="R20" s="127"/>
    </row>
    <row r="21" spans="1:18" x14ac:dyDescent="0.3">
      <c r="A21" s="126">
        <v>150798</v>
      </c>
      <c r="B21" s="126" t="s">
        <v>266</v>
      </c>
      <c r="C21" s="127"/>
      <c r="D21" s="127">
        <v>135673.60084033612</v>
      </c>
      <c r="E21" s="127"/>
      <c r="F21" s="127">
        <f t="shared" si="0"/>
        <v>135673.60084033612</v>
      </c>
      <c r="G21" s="127"/>
      <c r="H21" s="127">
        <f>F21</f>
        <v>135673.60084033612</v>
      </c>
      <c r="I21" s="127">
        <f t="shared" ref="I21:I26" si="4">+E21</f>
        <v>0</v>
      </c>
      <c r="J21" s="127">
        <f>H21</f>
        <v>135673.60084033612</v>
      </c>
      <c r="K21" s="128">
        <v>0</v>
      </c>
      <c r="L21" s="127">
        <v>135673.60084033612</v>
      </c>
      <c r="M21" s="127"/>
      <c r="N21" s="127">
        <f>L21</f>
        <v>135673.60084033612</v>
      </c>
      <c r="O21" s="127"/>
      <c r="P21" s="127">
        <f>N21</f>
        <v>135673.60084033612</v>
      </c>
      <c r="Q21" s="127">
        <f t="shared" ref="Q21:Q23" si="5">+M21</f>
        <v>0</v>
      </c>
      <c r="R21" s="127">
        <f>P21</f>
        <v>135673.60084033612</v>
      </c>
    </row>
    <row r="22" spans="1:18" x14ac:dyDescent="0.3">
      <c r="A22" s="126">
        <v>152410</v>
      </c>
      <c r="B22" s="126" t="s">
        <v>20</v>
      </c>
      <c r="C22" s="127">
        <v>1204570.5882352942</v>
      </c>
      <c r="D22" s="127"/>
      <c r="E22" s="127">
        <f>C22</f>
        <v>1204570.5882352942</v>
      </c>
      <c r="F22" s="127"/>
      <c r="G22" s="127">
        <f>E22</f>
        <v>1204570.5882352942</v>
      </c>
      <c r="H22" s="127"/>
      <c r="I22" s="127">
        <f t="shared" si="4"/>
        <v>1204570.5882352942</v>
      </c>
      <c r="J22" s="127"/>
      <c r="K22" s="128"/>
      <c r="L22" s="127"/>
      <c r="M22" s="127">
        <f>K22</f>
        <v>0</v>
      </c>
      <c r="N22" s="127"/>
      <c r="O22" s="127">
        <f>M22</f>
        <v>0</v>
      </c>
      <c r="P22" s="127"/>
      <c r="Q22" s="127">
        <f t="shared" si="5"/>
        <v>0</v>
      </c>
      <c r="R22" s="127"/>
    </row>
    <row r="23" spans="1:18" x14ac:dyDescent="0.3">
      <c r="A23" s="126">
        <v>152495</v>
      </c>
      <c r="B23" s="126" t="s">
        <v>267</v>
      </c>
      <c r="C23" s="127">
        <v>1680672.2689075631</v>
      </c>
      <c r="D23" s="127">
        <v>1200000</v>
      </c>
      <c r="E23" s="127">
        <f>C23</f>
        <v>1680672.2689075631</v>
      </c>
      <c r="F23" s="127">
        <v>1200000</v>
      </c>
      <c r="G23" s="127">
        <f>E23</f>
        <v>1680672.2689075631</v>
      </c>
      <c r="H23" s="127">
        <v>1200000</v>
      </c>
      <c r="I23" s="127">
        <f>G23-H23</f>
        <v>480672.26890756306</v>
      </c>
      <c r="J23" s="127"/>
      <c r="K23" s="128"/>
      <c r="L23" s="127"/>
      <c r="M23" s="127">
        <f>K23</f>
        <v>0</v>
      </c>
      <c r="N23" s="127"/>
      <c r="O23" s="127">
        <f>M23</f>
        <v>0</v>
      </c>
      <c r="P23" s="127"/>
      <c r="Q23" s="127">
        <f t="shared" si="5"/>
        <v>0</v>
      </c>
      <c r="R23" s="127"/>
    </row>
    <row r="24" spans="1:18" x14ac:dyDescent="0.3">
      <c r="A24" s="126">
        <v>152496</v>
      </c>
      <c r="B24" s="126" t="s">
        <v>268</v>
      </c>
      <c r="C24" s="127">
        <v>1008403.3613445378</v>
      </c>
      <c r="D24" s="127"/>
      <c r="E24" s="127">
        <f>C24</f>
        <v>1008403.3613445378</v>
      </c>
      <c r="F24" s="127"/>
      <c r="G24" s="127">
        <f>E24</f>
        <v>1008403.3613445378</v>
      </c>
      <c r="H24" s="127"/>
      <c r="I24" s="127">
        <f>E24</f>
        <v>1008403.3613445378</v>
      </c>
      <c r="J24" s="127"/>
      <c r="K24" s="128"/>
      <c r="L24" s="127"/>
      <c r="M24" s="127">
        <f>K24</f>
        <v>0</v>
      </c>
      <c r="N24" s="127"/>
      <c r="O24" s="127">
        <f>M24</f>
        <v>0</v>
      </c>
      <c r="P24" s="127"/>
      <c r="Q24" s="127">
        <f>M24</f>
        <v>0</v>
      </c>
      <c r="R24" s="127"/>
    </row>
    <row r="25" spans="1:18" x14ac:dyDescent="0.3">
      <c r="A25" s="126">
        <v>154030</v>
      </c>
      <c r="B25" s="126" t="s">
        <v>269</v>
      </c>
      <c r="C25" s="127">
        <v>7000000</v>
      </c>
      <c r="D25" s="127">
        <v>800000</v>
      </c>
      <c r="E25" s="127">
        <f>C25</f>
        <v>7000000</v>
      </c>
      <c r="F25" s="127">
        <v>800000</v>
      </c>
      <c r="G25" s="127">
        <f>E25</f>
        <v>7000000</v>
      </c>
      <c r="H25" s="127">
        <v>800000</v>
      </c>
      <c r="I25" s="127">
        <f>G25-H25</f>
        <v>6200000</v>
      </c>
      <c r="J25" s="127"/>
      <c r="K25" s="128"/>
      <c r="L25" s="127"/>
      <c r="M25" s="127">
        <f>K25</f>
        <v>0</v>
      </c>
      <c r="N25" s="127"/>
      <c r="O25" s="127">
        <f>M25</f>
        <v>0</v>
      </c>
      <c r="P25" s="127"/>
      <c r="Q25" s="127">
        <f>M25</f>
        <v>0</v>
      </c>
      <c r="R25" s="127"/>
    </row>
    <row r="26" spans="1:18" x14ac:dyDescent="0.3">
      <c r="A26" s="126">
        <v>180203</v>
      </c>
      <c r="B26" s="126" t="s">
        <v>270</v>
      </c>
      <c r="C26" s="127"/>
      <c r="D26" s="127"/>
      <c r="E26" s="127"/>
      <c r="F26" s="127"/>
      <c r="G26" s="127"/>
      <c r="H26" s="127"/>
      <c r="I26" s="127">
        <f t="shared" si="4"/>
        <v>0</v>
      </c>
      <c r="J26" s="127"/>
      <c r="K26" s="128"/>
      <c r="L26" s="127"/>
      <c r="M26" s="127"/>
      <c r="N26" s="127"/>
      <c r="O26" s="127"/>
      <c r="P26" s="127"/>
      <c r="Q26" s="127">
        <f t="shared" ref="Q26" si="6">+M26</f>
        <v>0</v>
      </c>
      <c r="R26" s="127"/>
    </row>
    <row r="27" spans="1:18" x14ac:dyDescent="0.3">
      <c r="A27" s="126">
        <v>220101</v>
      </c>
      <c r="B27" s="126" t="s">
        <v>271</v>
      </c>
      <c r="C27" s="127"/>
      <c r="D27" s="127">
        <v>15596436.735294119</v>
      </c>
      <c r="E27" s="127"/>
      <c r="F27" s="127">
        <f>D27</f>
        <v>15596436.735294119</v>
      </c>
      <c r="G27" s="127"/>
      <c r="H27" s="127">
        <f>F27</f>
        <v>15596436.735294119</v>
      </c>
      <c r="I27" s="127"/>
      <c r="J27" s="127">
        <f t="shared" ref="J27:J39" si="7">+F27</f>
        <v>15596436.735294119</v>
      </c>
      <c r="L27" s="127">
        <v>4072698</v>
      </c>
      <c r="M27" s="127"/>
      <c r="N27" s="127">
        <f>L27</f>
        <v>4072698</v>
      </c>
      <c r="O27" s="127"/>
      <c r="P27" s="127">
        <f>N27</f>
        <v>4072698</v>
      </c>
      <c r="Q27" s="127"/>
      <c r="R27" s="127">
        <f t="shared" ref="R27" si="8">+N27</f>
        <v>4072698</v>
      </c>
    </row>
    <row r="28" spans="1:18" x14ac:dyDescent="0.3">
      <c r="A28" s="126">
        <v>221103</v>
      </c>
      <c r="B28" s="126" t="s">
        <v>272</v>
      </c>
      <c r="C28" s="127">
        <v>500000</v>
      </c>
      <c r="D28" s="127"/>
      <c r="E28" s="127">
        <f>C28</f>
        <v>500000</v>
      </c>
      <c r="F28" s="127"/>
      <c r="G28" s="127">
        <f>E28</f>
        <v>500000</v>
      </c>
      <c r="H28" s="127"/>
      <c r="I28" s="127">
        <f>G28</f>
        <v>500000</v>
      </c>
      <c r="J28" s="127"/>
      <c r="K28" s="120">
        <v>500000</v>
      </c>
      <c r="L28" s="127"/>
      <c r="M28" s="127">
        <f>K28</f>
        <v>500000</v>
      </c>
      <c r="N28" s="127"/>
      <c r="O28" s="127">
        <f>M28</f>
        <v>500000</v>
      </c>
      <c r="P28" s="127"/>
      <c r="Q28" s="127">
        <f>O28</f>
        <v>500000</v>
      </c>
      <c r="R28" s="127"/>
    </row>
    <row r="29" spans="1:18" x14ac:dyDescent="0.3">
      <c r="A29" s="126">
        <v>236505</v>
      </c>
      <c r="B29" s="126" t="s">
        <v>549</v>
      </c>
      <c r="C29" s="127"/>
      <c r="D29" s="127">
        <f>CONTABILIZACIÓN!E152+CONTABILIZACIÓN!E172+CONTABILIZACIÓN!E192+CONTABILIZACIÓN!E212</f>
        <v>4282893</v>
      </c>
      <c r="E29" s="127"/>
      <c r="F29" s="127">
        <f t="shared" ref="F29:F35" si="9">D29</f>
        <v>4282893</v>
      </c>
      <c r="G29" s="127"/>
      <c r="H29" s="127">
        <f t="shared" ref="H29:H35" si="10">F29</f>
        <v>4282893</v>
      </c>
      <c r="I29" s="127"/>
      <c r="J29" s="127">
        <f t="shared" ref="J29:J35" si="11">H29</f>
        <v>4282893</v>
      </c>
      <c r="L29" s="127"/>
      <c r="M29" s="127"/>
      <c r="N29" s="127"/>
      <c r="O29" s="127"/>
      <c r="P29" s="127"/>
      <c r="Q29" s="127"/>
      <c r="R29" s="127"/>
    </row>
    <row r="30" spans="1:18" x14ac:dyDescent="0.3">
      <c r="A30" s="126">
        <v>237005</v>
      </c>
      <c r="B30" s="126" t="s">
        <v>550</v>
      </c>
      <c r="C30" s="127"/>
      <c r="D30" s="127">
        <f>CONTABILIZACIÓN!E153+CONTABILIZACIÓN!E173+CONTABILIZACIÓN!E193</f>
        <v>331500.00000000006</v>
      </c>
      <c r="E30" s="127"/>
      <c r="F30" s="127">
        <f t="shared" si="9"/>
        <v>331500.00000000006</v>
      </c>
      <c r="G30" s="127"/>
      <c r="H30" s="127">
        <f t="shared" si="10"/>
        <v>331500.00000000006</v>
      </c>
      <c r="I30" s="127"/>
      <c r="J30" s="127">
        <f t="shared" si="11"/>
        <v>331500.00000000006</v>
      </c>
      <c r="L30" s="127"/>
      <c r="M30" s="127"/>
      <c r="N30" s="127"/>
      <c r="O30" s="127"/>
      <c r="P30" s="127"/>
      <c r="Q30" s="127"/>
      <c r="R30" s="127"/>
    </row>
    <row r="31" spans="1:18" x14ac:dyDescent="0.3">
      <c r="A31" s="126">
        <v>237006</v>
      </c>
      <c r="B31" s="126" t="s">
        <v>529</v>
      </c>
      <c r="C31" s="127"/>
      <c r="D31" s="127">
        <f>CONTABILIZACIÓN!E154+CONTABILIZACIÓN!E174+CONTABILIZACIÓN!E194</f>
        <v>20358</v>
      </c>
      <c r="E31" s="127"/>
      <c r="F31" s="127">
        <f t="shared" si="9"/>
        <v>20358</v>
      </c>
      <c r="G31" s="127"/>
      <c r="H31" s="127">
        <f t="shared" si="10"/>
        <v>20358</v>
      </c>
      <c r="I31" s="127"/>
      <c r="J31" s="127">
        <f t="shared" si="11"/>
        <v>20358</v>
      </c>
      <c r="L31" s="127"/>
      <c r="M31" s="127"/>
      <c r="N31" s="127"/>
      <c r="O31" s="127"/>
      <c r="P31" s="127"/>
      <c r="Q31" s="127"/>
      <c r="R31" s="127"/>
    </row>
    <row r="32" spans="1:18" x14ac:dyDescent="0.3">
      <c r="A32" s="126">
        <v>238030</v>
      </c>
      <c r="B32" s="126" t="s">
        <v>551</v>
      </c>
      <c r="C32" s="127"/>
      <c r="D32" s="127">
        <f>CONTABILIZACIÓN!E155+CONTABILIZACIÓN!E175+CONTABILIZACIÓN!E195</f>
        <v>468000</v>
      </c>
      <c r="E32" s="127"/>
      <c r="F32" s="127">
        <f t="shared" si="9"/>
        <v>468000</v>
      </c>
      <c r="G32" s="127"/>
      <c r="H32" s="127">
        <f t="shared" si="10"/>
        <v>468000</v>
      </c>
      <c r="I32" s="127"/>
      <c r="J32" s="127">
        <f t="shared" si="11"/>
        <v>468000</v>
      </c>
      <c r="L32" s="127"/>
      <c r="M32" s="127"/>
      <c r="N32" s="127"/>
      <c r="O32" s="127"/>
      <c r="P32" s="127"/>
      <c r="Q32" s="127"/>
      <c r="R32" s="127"/>
    </row>
    <row r="33" spans="1:18" x14ac:dyDescent="0.3">
      <c r="A33" s="126">
        <v>261010</v>
      </c>
      <c r="B33" s="126" t="s">
        <v>552</v>
      </c>
      <c r="C33" s="127"/>
      <c r="D33" s="127">
        <f>CONTABILIZACIÓN!E156+CONTABILIZACIÓN!E176+CONTABILIZACIÓN!E196</f>
        <v>32040</v>
      </c>
      <c r="E33" s="127"/>
      <c r="F33" s="127">
        <f t="shared" si="9"/>
        <v>32040</v>
      </c>
      <c r="G33" s="127"/>
      <c r="H33" s="127">
        <f t="shared" si="10"/>
        <v>32040</v>
      </c>
      <c r="I33" s="127"/>
      <c r="J33" s="127">
        <f t="shared" si="11"/>
        <v>32040</v>
      </c>
      <c r="L33" s="127"/>
      <c r="M33" s="127"/>
      <c r="N33" s="127"/>
      <c r="O33" s="127"/>
      <c r="P33" s="127"/>
      <c r="Q33" s="127"/>
      <c r="R33" s="127"/>
    </row>
    <row r="34" spans="1:18" x14ac:dyDescent="0.3">
      <c r="A34" s="126">
        <v>261015</v>
      </c>
      <c r="B34" s="126" t="s">
        <v>553</v>
      </c>
      <c r="C34" s="127"/>
      <c r="D34" s="127">
        <f>CONTABILIZACIÓN!E157+CONTABILIZACIÓN!E177+CONTABILIZACIÓN!E197</f>
        <v>120930</v>
      </c>
      <c r="E34" s="127"/>
      <c r="F34" s="127">
        <f t="shared" si="9"/>
        <v>120930</v>
      </c>
      <c r="G34" s="127"/>
      <c r="H34" s="127">
        <f t="shared" si="10"/>
        <v>120930</v>
      </c>
      <c r="I34" s="127"/>
      <c r="J34" s="127">
        <f t="shared" si="11"/>
        <v>120930</v>
      </c>
      <c r="L34" s="127"/>
      <c r="M34" s="127"/>
      <c r="N34" s="127"/>
      <c r="O34" s="127"/>
      <c r="P34" s="127"/>
      <c r="Q34" s="127"/>
      <c r="R34" s="127"/>
    </row>
    <row r="35" spans="1:18" x14ac:dyDescent="0.3">
      <c r="A35" s="126">
        <v>261020</v>
      </c>
      <c r="B35" s="126" t="s">
        <v>554</v>
      </c>
      <c r="C35" s="127"/>
      <c r="D35" s="127">
        <f>CONTABILIZACIÓN!E158+CONTABILIZACIÓN!E178+CONTABILIZACIÓN!E198</f>
        <v>241570</v>
      </c>
      <c r="E35" s="127"/>
      <c r="F35" s="127">
        <f t="shared" si="9"/>
        <v>241570</v>
      </c>
      <c r="G35" s="127"/>
      <c r="H35" s="127">
        <f t="shared" si="10"/>
        <v>241570</v>
      </c>
      <c r="I35" s="127"/>
      <c r="J35" s="127">
        <f t="shared" si="11"/>
        <v>241570</v>
      </c>
      <c r="L35" s="127"/>
      <c r="M35" s="127"/>
      <c r="N35" s="127"/>
      <c r="O35" s="127"/>
      <c r="P35" s="127"/>
      <c r="Q35" s="127"/>
      <c r="R35" s="127"/>
    </row>
    <row r="36" spans="1:18" x14ac:dyDescent="0.3">
      <c r="A36" s="126">
        <v>240401</v>
      </c>
      <c r="B36" s="126" t="s">
        <v>273</v>
      </c>
      <c r="C36" s="127">
        <v>2219461.0840336136</v>
      </c>
      <c r="D36" s="127"/>
      <c r="E36" s="127">
        <f>C36</f>
        <v>2219461.0840336136</v>
      </c>
      <c r="F36" s="127"/>
      <c r="G36" s="127">
        <f>E36</f>
        <v>2219461.0840336136</v>
      </c>
      <c r="H36" s="127"/>
      <c r="I36" s="127">
        <f>G36</f>
        <v>2219461.0840336136</v>
      </c>
      <c r="J36" s="127">
        <f t="shared" si="7"/>
        <v>0</v>
      </c>
      <c r="K36" s="128">
        <v>610498</v>
      </c>
      <c r="L36" s="127"/>
      <c r="M36" s="127">
        <f>K36</f>
        <v>610498</v>
      </c>
      <c r="N36" s="127"/>
      <c r="O36" s="127">
        <f>M36</f>
        <v>610498</v>
      </c>
      <c r="P36" s="127"/>
      <c r="Q36" s="127">
        <f>O36</f>
        <v>610498</v>
      </c>
      <c r="R36" s="127">
        <f t="shared" ref="R36:R39" si="12">+N36</f>
        <v>0</v>
      </c>
    </row>
    <row r="37" spans="1:18" x14ac:dyDescent="0.3">
      <c r="A37" s="126">
        <v>242208</v>
      </c>
      <c r="B37" s="126" t="s">
        <v>270</v>
      </c>
      <c r="C37" s="127">
        <v>0</v>
      </c>
      <c r="D37" s="127">
        <v>30114.264705882357</v>
      </c>
      <c r="E37" s="127"/>
      <c r="F37" s="127">
        <f t="shared" ref="F37:F42" si="13">+D37-C37</f>
        <v>30114.264705882357</v>
      </c>
      <c r="G37" s="127"/>
      <c r="H37" s="127">
        <f>F37</f>
        <v>30114.264705882357</v>
      </c>
      <c r="I37" s="127"/>
      <c r="J37" s="127">
        <f t="shared" si="7"/>
        <v>30114.264705882357</v>
      </c>
      <c r="K37" s="128">
        <v>0</v>
      </c>
      <c r="L37" s="127">
        <v>0</v>
      </c>
      <c r="M37" s="127"/>
      <c r="N37" s="127">
        <f t="shared" ref="N37:N42" si="14">+L37-K37</f>
        <v>0</v>
      </c>
      <c r="O37" s="127"/>
      <c r="P37" s="127">
        <f>N37</f>
        <v>0</v>
      </c>
      <c r="Q37" s="127"/>
      <c r="R37" s="127">
        <f t="shared" si="12"/>
        <v>0</v>
      </c>
    </row>
    <row r="38" spans="1:18" x14ac:dyDescent="0.3">
      <c r="A38" s="126">
        <v>310301</v>
      </c>
      <c r="B38" s="126" t="s">
        <v>274</v>
      </c>
      <c r="C38" s="127">
        <v>0</v>
      </c>
      <c r="D38" s="127"/>
      <c r="E38" s="127"/>
      <c r="F38" s="127">
        <f t="shared" si="13"/>
        <v>0</v>
      </c>
      <c r="G38" s="127"/>
      <c r="H38" s="127"/>
      <c r="I38" s="127"/>
      <c r="J38" s="127">
        <f t="shared" si="7"/>
        <v>0</v>
      </c>
      <c r="K38" s="128">
        <v>0</v>
      </c>
      <c r="L38" s="127"/>
      <c r="M38" s="127"/>
      <c r="N38" s="127">
        <f t="shared" si="14"/>
        <v>0</v>
      </c>
      <c r="O38" s="127"/>
      <c r="P38" s="127"/>
      <c r="Q38" s="127"/>
      <c r="R38" s="127">
        <f t="shared" si="12"/>
        <v>0</v>
      </c>
    </row>
    <row r="39" spans="1:18" x14ac:dyDescent="0.3">
      <c r="A39" s="126">
        <v>413195</v>
      </c>
      <c r="B39" s="126" t="s">
        <v>275</v>
      </c>
      <c r="C39" s="127"/>
      <c r="D39" s="127">
        <f>CONTABILIZACIÓN!E132</f>
        <v>5040000</v>
      </c>
      <c r="E39" s="127"/>
      <c r="F39" s="127">
        <f t="shared" si="13"/>
        <v>5040000</v>
      </c>
      <c r="G39" s="127"/>
      <c r="H39" s="127">
        <f>F39</f>
        <v>5040000</v>
      </c>
      <c r="I39" s="127"/>
      <c r="J39" s="127">
        <f t="shared" si="7"/>
        <v>5040000</v>
      </c>
      <c r="K39" s="128"/>
      <c r="L39" s="127">
        <v>1200000</v>
      </c>
      <c r="M39" s="127"/>
      <c r="N39" s="127">
        <f t="shared" si="14"/>
        <v>1200000</v>
      </c>
      <c r="O39" s="127"/>
      <c r="P39" s="127">
        <f>N39</f>
        <v>1200000</v>
      </c>
      <c r="Q39" s="127"/>
      <c r="R39" s="127">
        <f t="shared" si="12"/>
        <v>1200000</v>
      </c>
    </row>
    <row r="40" spans="1:18" x14ac:dyDescent="0.3">
      <c r="A40" s="126">
        <v>413196</v>
      </c>
      <c r="B40" s="126" t="s">
        <v>276</v>
      </c>
      <c r="C40" s="127"/>
      <c r="D40" s="127">
        <f>CONTABILIZACIÓN!E137</f>
        <v>2240000</v>
      </c>
      <c r="E40" s="127"/>
      <c r="F40" s="127">
        <f t="shared" si="13"/>
        <v>2240000</v>
      </c>
      <c r="G40" s="127"/>
      <c r="H40" s="127">
        <f>F40</f>
        <v>2240000</v>
      </c>
      <c r="I40" s="127"/>
      <c r="J40" s="127">
        <f>H40</f>
        <v>2240000</v>
      </c>
      <c r="K40" s="128"/>
      <c r="L40" s="127">
        <v>600000</v>
      </c>
      <c r="M40" s="127"/>
      <c r="N40" s="127">
        <f t="shared" si="14"/>
        <v>600000</v>
      </c>
      <c r="O40" s="127"/>
      <c r="P40" s="127">
        <f>N40</f>
        <v>600000</v>
      </c>
      <c r="Q40" s="127"/>
      <c r="R40" s="127">
        <f>P40</f>
        <v>600000</v>
      </c>
    </row>
    <row r="41" spans="1:18" x14ac:dyDescent="0.3">
      <c r="A41" s="126">
        <v>413197</v>
      </c>
      <c r="B41" s="126" t="s">
        <v>277</v>
      </c>
      <c r="C41" s="127"/>
      <c r="D41" s="127">
        <f>CONTABILIZACIÓN!E142</f>
        <v>1190000</v>
      </c>
      <c r="E41" s="127"/>
      <c r="F41" s="127">
        <f t="shared" si="13"/>
        <v>1190000</v>
      </c>
      <c r="G41" s="127"/>
      <c r="H41" s="127">
        <f>F41</f>
        <v>1190000</v>
      </c>
      <c r="I41" s="127"/>
      <c r="J41" s="127">
        <f>H41</f>
        <v>1190000</v>
      </c>
      <c r="K41" s="128"/>
      <c r="L41" s="127">
        <v>800000</v>
      </c>
      <c r="M41" s="127"/>
      <c r="N41" s="127">
        <f t="shared" si="14"/>
        <v>800000</v>
      </c>
      <c r="O41" s="127"/>
      <c r="P41" s="127">
        <f>N41</f>
        <v>800000</v>
      </c>
      <c r="Q41" s="127"/>
      <c r="R41" s="127">
        <f>P41</f>
        <v>800000</v>
      </c>
    </row>
    <row r="42" spans="1:18" x14ac:dyDescent="0.3">
      <c r="A42" s="126">
        <v>413198</v>
      </c>
      <c r="B42" s="126" t="s">
        <v>278</v>
      </c>
      <c r="C42" s="127"/>
      <c r="D42" s="127">
        <f>CONTABILIZACIÓN!E148</f>
        <v>1032000</v>
      </c>
      <c r="E42" s="127"/>
      <c r="F42" s="127">
        <f t="shared" si="13"/>
        <v>1032000</v>
      </c>
      <c r="G42" s="127"/>
      <c r="H42" s="127">
        <f>F42</f>
        <v>1032000</v>
      </c>
      <c r="I42" s="127"/>
      <c r="J42" s="127">
        <f>H42</f>
        <v>1032000</v>
      </c>
      <c r="K42" s="128"/>
      <c r="L42" s="127">
        <v>675000</v>
      </c>
      <c r="M42" s="127"/>
      <c r="N42" s="127">
        <f t="shared" si="14"/>
        <v>675000</v>
      </c>
      <c r="O42" s="127"/>
      <c r="P42" s="127">
        <f>N42</f>
        <v>675000</v>
      </c>
      <c r="Q42" s="127"/>
      <c r="R42" s="127">
        <f>P42</f>
        <v>675000</v>
      </c>
    </row>
    <row r="43" spans="1:18" x14ac:dyDescent="0.3">
      <c r="A43" s="126">
        <v>510506</v>
      </c>
      <c r="B43" s="126" t="s">
        <v>624</v>
      </c>
      <c r="C43" s="127">
        <f>CONTABILIZACIÓN!D159</f>
        <v>1300000</v>
      </c>
      <c r="D43" s="127"/>
      <c r="E43" s="127">
        <f>C43</f>
        <v>1300000</v>
      </c>
      <c r="F43" s="127"/>
      <c r="G43" s="127">
        <f>E43</f>
        <v>1300000</v>
      </c>
      <c r="H43" s="127"/>
      <c r="I43" s="127">
        <f>G43</f>
        <v>1300000</v>
      </c>
      <c r="J43" s="127"/>
      <c r="K43" s="128"/>
      <c r="L43" s="127"/>
      <c r="M43" s="127"/>
      <c r="N43" s="127"/>
      <c r="O43" s="127"/>
      <c r="P43" s="127"/>
      <c r="Q43" s="127"/>
      <c r="R43" s="127"/>
    </row>
    <row r="44" spans="1:18" x14ac:dyDescent="0.3">
      <c r="A44" s="126">
        <v>510527</v>
      </c>
      <c r="B44" s="126" t="s">
        <v>555</v>
      </c>
      <c r="C44" s="127">
        <f>CONTABILIZACIÓN!D160</f>
        <v>304000</v>
      </c>
      <c r="D44" s="127"/>
      <c r="E44" s="127">
        <f t="shared" ref="E44:E51" si="15">C44</f>
        <v>304000</v>
      </c>
      <c r="F44" s="127"/>
      <c r="G44" s="127">
        <f t="shared" ref="G44:G51" si="16">E44</f>
        <v>304000</v>
      </c>
      <c r="H44" s="127"/>
      <c r="I44" s="127">
        <f t="shared" ref="I44:I51" si="17">G44</f>
        <v>304000</v>
      </c>
      <c r="J44" s="127"/>
      <c r="K44" s="128"/>
      <c r="L44" s="127"/>
      <c r="M44" s="127"/>
      <c r="N44" s="127"/>
      <c r="O44" s="127"/>
      <c r="P44" s="127"/>
      <c r="Q44" s="127"/>
      <c r="R44" s="127"/>
    </row>
    <row r="45" spans="1:18" x14ac:dyDescent="0.3">
      <c r="A45" s="126">
        <v>510530</v>
      </c>
      <c r="B45" s="126" t="s">
        <v>556</v>
      </c>
      <c r="C45" s="127">
        <f>CONTABILIZACIÓN!D161</f>
        <v>133613.20000000001</v>
      </c>
      <c r="D45" s="127"/>
      <c r="E45" s="127">
        <f t="shared" si="15"/>
        <v>133613.20000000001</v>
      </c>
      <c r="F45" s="127"/>
      <c r="G45" s="127">
        <f t="shared" si="16"/>
        <v>133613.20000000001</v>
      </c>
      <c r="H45" s="127"/>
      <c r="I45" s="127">
        <f t="shared" si="17"/>
        <v>133613.20000000001</v>
      </c>
      <c r="J45" s="127"/>
      <c r="K45" s="128"/>
      <c r="L45" s="127"/>
      <c r="M45" s="127"/>
      <c r="N45" s="127"/>
      <c r="O45" s="127"/>
      <c r="P45" s="127"/>
      <c r="Q45" s="127"/>
      <c r="R45" s="127"/>
    </row>
    <row r="46" spans="1:18" x14ac:dyDescent="0.3">
      <c r="A46" s="126">
        <v>510533</v>
      </c>
      <c r="B46" s="126" t="s">
        <v>552</v>
      </c>
      <c r="C46" s="127">
        <f>CONTABILIZACIÓN!D162</f>
        <v>16040</v>
      </c>
      <c r="D46" s="127"/>
      <c r="E46" s="127">
        <f t="shared" si="15"/>
        <v>16040</v>
      </c>
      <c r="F46" s="127"/>
      <c r="G46" s="127">
        <f t="shared" si="16"/>
        <v>16040</v>
      </c>
      <c r="H46" s="127"/>
      <c r="I46" s="127">
        <f t="shared" si="17"/>
        <v>16040</v>
      </c>
      <c r="J46" s="127"/>
      <c r="K46" s="128"/>
      <c r="L46" s="127"/>
      <c r="M46" s="127"/>
      <c r="N46" s="127"/>
      <c r="O46" s="127"/>
      <c r="P46" s="127"/>
      <c r="Q46" s="127"/>
      <c r="R46" s="127"/>
    </row>
    <row r="47" spans="1:18" x14ac:dyDescent="0.3">
      <c r="A47" s="126">
        <v>510536</v>
      </c>
      <c r="B47" s="126" t="s">
        <v>554</v>
      </c>
      <c r="C47" s="127">
        <f>CONTABILIZACIÓN!D163</f>
        <v>108290</v>
      </c>
      <c r="D47" s="127"/>
      <c r="E47" s="127">
        <f t="shared" si="15"/>
        <v>108290</v>
      </c>
      <c r="F47" s="127"/>
      <c r="G47" s="127">
        <f t="shared" si="16"/>
        <v>108290</v>
      </c>
      <c r="H47" s="127"/>
      <c r="I47" s="127">
        <f t="shared" si="17"/>
        <v>108290</v>
      </c>
      <c r="J47" s="127"/>
      <c r="K47" s="128"/>
      <c r="L47" s="127"/>
      <c r="M47" s="127"/>
      <c r="N47" s="127"/>
      <c r="O47" s="127"/>
      <c r="P47" s="127"/>
      <c r="Q47" s="127"/>
      <c r="R47" s="127"/>
    </row>
    <row r="48" spans="1:18" x14ac:dyDescent="0.3">
      <c r="A48" s="126">
        <v>510539</v>
      </c>
      <c r="B48" s="126" t="s">
        <v>553</v>
      </c>
      <c r="C48" s="127">
        <f>CONTABILIZACIÓN!D164</f>
        <v>54210</v>
      </c>
      <c r="D48" s="127"/>
      <c r="E48" s="127">
        <f t="shared" si="15"/>
        <v>54210</v>
      </c>
      <c r="F48" s="127"/>
      <c r="G48" s="127">
        <f t="shared" si="16"/>
        <v>54210</v>
      </c>
      <c r="H48" s="127"/>
      <c r="I48" s="127">
        <f t="shared" si="17"/>
        <v>54210</v>
      </c>
      <c r="J48" s="127"/>
      <c r="K48" s="128"/>
      <c r="L48" s="127"/>
      <c r="M48" s="127"/>
      <c r="N48" s="127"/>
      <c r="O48" s="127"/>
      <c r="P48" s="127"/>
      <c r="Q48" s="127"/>
      <c r="R48" s="127"/>
    </row>
    <row r="49" spans="1:18" x14ac:dyDescent="0.3">
      <c r="A49" s="126">
        <v>510568</v>
      </c>
      <c r="B49" s="126" t="s">
        <v>557</v>
      </c>
      <c r="C49" s="127">
        <f>CONTABILIZACIÓN!D165</f>
        <v>6786</v>
      </c>
      <c r="D49" s="127"/>
      <c r="E49" s="127">
        <f t="shared" si="15"/>
        <v>6786</v>
      </c>
      <c r="F49" s="127"/>
      <c r="G49" s="127">
        <f t="shared" si="16"/>
        <v>6786</v>
      </c>
      <c r="H49" s="127"/>
      <c r="I49" s="127">
        <f t="shared" si="17"/>
        <v>6786</v>
      </c>
      <c r="J49" s="127"/>
      <c r="K49" s="128"/>
      <c r="L49" s="127"/>
      <c r="M49" s="127"/>
      <c r="N49" s="127"/>
      <c r="O49" s="127"/>
      <c r="P49" s="127"/>
      <c r="Q49" s="127"/>
      <c r="R49" s="127"/>
    </row>
    <row r="50" spans="1:18" x14ac:dyDescent="0.3">
      <c r="A50" s="126">
        <v>510569</v>
      </c>
      <c r="B50" s="126" t="s">
        <v>550</v>
      </c>
      <c r="C50" s="127">
        <f>CONTABILIZACIÓN!D166</f>
        <v>162500</v>
      </c>
      <c r="D50" s="127"/>
      <c r="E50" s="127">
        <f t="shared" si="15"/>
        <v>162500</v>
      </c>
      <c r="F50" s="127"/>
      <c r="G50" s="127">
        <f t="shared" si="16"/>
        <v>162500</v>
      </c>
      <c r="H50" s="127"/>
      <c r="I50" s="127">
        <f t="shared" si="17"/>
        <v>162500</v>
      </c>
      <c r="J50" s="127"/>
      <c r="K50" s="128"/>
      <c r="L50" s="127"/>
      <c r="M50" s="127"/>
      <c r="N50" s="127"/>
      <c r="O50" s="127"/>
      <c r="P50" s="127"/>
      <c r="Q50" s="127"/>
      <c r="R50" s="127"/>
    </row>
    <row r="51" spans="1:18" x14ac:dyDescent="0.3">
      <c r="A51" s="126">
        <v>510570</v>
      </c>
      <c r="B51" s="126" t="s">
        <v>558</v>
      </c>
      <c r="C51" s="127">
        <f>CONTABILIZACIÓN!D167</f>
        <v>208000</v>
      </c>
      <c r="D51" s="127"/>
      <c r="E51" s="127">
        <f t="shared" si="15"/>
        <v>208000</v>
      </c>
      <c r="F51" s="127"/>
      <c r="G51" s="127">
        <f t="shared" si="16"/>
        <v>208000</v>
      </c>
      <c r="H51" s="127"/>
      <c r="I51" s="127">
        <f t="shared" si="17"/>
        <v>208000</v>
      </c>
      <c r="J51" s="127"/>
      <c r="K51" s="128"/>
      <c r="L51" s="127"/>
      <c r="M51" s="127"/>
      <c r="N51" s="127"/>
      <c r="O51" s="127"/>
      <c r="P51" s="127"/>
      <c r="Q51" s="127"/>
      <c r="R51" s="127"/>
    </row>
    <row r="52" spans="1:18" x14ac:dyDescent="0.3">
      <c r="A52" s="126">
        <v>512005</v>
      </c>
      <c r="B52" s="126" t="s">
        <v>25</v>
      </c>
      <c r="C52" s="127"/>
      <c r="D52" s="127">
        <v>500000</v>
      </c>
      <c r="E52" s="127"/>
      <c r="F52" s="127">
        <v>500000</v>
      </c>
      <c r="G52" s="127"/>
      <c r="H52" s="127">
        <f>F52</f>
        <v>500000</v>
      </c>
      <c r="I52" s="127"/>
      <c r="J52" s="127">
        <f>F52</f>
        <v>500000</v>
      </c>
      <c r="K52" s="128"/>
      <c r="L52" s="127">
        <v>500000</v>
      </c>
      <c r="M52" s="127"/>
      <c r="N52" s="127">
        <f>L52</f>
        <v>500000</v>
      </c>
      <c r="O52" s="127"/>
      <c r="P52" s="127">
        <f>N52</f>
        <v>500000</v>
      </c>
      <c r="Q52" s="127"/>
      <c r="R52" s="127">
        <f>N52</f>
        <v>500000</v>
      </c>
    </row>
    <row r="53" spans="1:18" x14ac:dyDescent="0.3">
      <c r="A53" s="126">
        <v>520501</v>
      </c>
      <c r="B53" s="126" t="s">
        <v>584</v>
      </c>
      <c r="C53" s="127">
        <f>CONTABILIZACIÓN!D213</f>
        <v>500000</v>
      </c>
      <c r="D53" s="127"/>
      <c r="E53" s="127">
        <f>C53</f>
        <v>500000</v>
      </c>
      <c r="F53" s="127"/>
      <c r="G53" s="127">
        <f>E53</f>
        <v>500000</v>
      </c>
      <c r="H53" s="127"/>
      <c r="I53" s="127">
        <f t="shared" ref="I53:I56" si="18">G53</f>
        <v>500000</v>
      </c>
      <c r="J53" s="127"/>
      <c r="K53" s="128"/>
      <c r="L53" s="127"/>
      <c r="M53" s="127"/>
      <c r="N53" s="127"/>
      <c r="O53" s="127"/>
      <c r="P53" s="127"/>
      <c r="Q53" s="127"/>
      <c r="R53" s="127"/>
    </row>
    <row r="54" spans="1:18" x14ac:dyDescent="0.3">
      <c r="A54" s="126">
        <v>612009</v>
      </c>
      <c r="B54" s="126" t="s">
        <v>279</v>
      </c>
      <c r="C54" s="127"/>
      <c r="D54" s="127"/>
      <c r="E54" s="127">
        <f>C54</f>
        <v>0</v>
      </c>
      <c r="F54" s="127"/>
      <c r="G54" s="127">
        <f>E54</f>
        <v>0</v>
      </c>
      <c r="H54" s="127"/>
      <c r="I54" s="127">
        <f t="shared" si="18"/>
        <v>0</v>
      </c>
      <c r="J54" s="127"/>
      <c r="K54" s="128"/>
      <c r="L54" s="127"/>
      <c r="M54" s="127"/>
      <c r="N54" s="127"/>
      <c r="O54" s="127"/>
      <c r="P54" s="127"/>
      <c r="Q54" s="127"/>
      <c r="R54" s="127"/>
    </row>
    <row r="55" spans="1:18" ht="30" x14ac:dyDescent="0.3">
      <c r="A55" s="126">
        <v>613501</v>
      </c>
      <c r="B55" s="129" t="s">
        <v>280</v>
      </c>
      <c r="C55" s="127">
        <f>D39+D40+D41+D42</f>
        <v>9502000</v>
      </c>
      <c r="D55" s="127">
        <v>0</v>
      </c>
      <c r="E55" s="127">
        <f t="shared" ref="E55" si="19">+C55-D55</f>
        <v>9502000</v>
      </c>
      <c r="F55" s="127"/>
      <c r="G55" s="127">
        <f>E55</f>
        <v>9502000</v>
      </c>
      <c r="H55" s="127"/>
      <c r="I55" s="127">
        <f t="shared" si="18"/>
        <v>9502000</v>
      </c>
      <c r="J55" s="127"/>
      <c r="K55" s="128">
        <f>L39+L40+L41+L42</f>
        <v>3275000</v>
      </c>
      <c r="L55" s="127">
        <v>0</v>
      </c>
      <c r="M55" s="127">
        <f t="shared" ref="M55" si="20">+K55-L55</f>
        <v>3275000</v>
      </c>
      <c r="N55" s="127"/>
      <c r="O55" s="127">
        <f>M55</f>
        <v>3275000</v>
      </c>
      <c r="P55" s="127"/>
      <c r="Q55" s="127">
        <f>O55</f>
        <v>3275000</v>
      </c>
      <c r="R55" s="127"/>
    </row>
    <row r="56" spans="1:18" ht="30" x14ac:dyDescent="0.3">
      <c r="A56" s="126">
        <v>613502</v>
      </c>
      <c r="B56" s="129" t="s">
        <v>281</v>
      </c>
      <c r="C56" s="127">
        <v>800000</v>
      </c>
      <c r="D56" s="127"/>
      <c r="E56" s="127">
        <v>800000</v>
      </c>
      <c r="F56" s="127"/>
      <c r="G56" s="127">
        <v>800000</v>
      </c>
      <c r="H56" s="127"/>
      <c r="I56" s="127">
        <f t="shared" si="18"/>
        <v>800000</v>
      </c>
      <c r="J56" s="127">
        <f>H56</f>
        <v>0</v>
      </c>
      <c r="K56" s="128"/>
      <c r="L56" s="127"/>
      <c r="M56" s="127"/>
      <c r="N56" s="127"/>
      <c r="O56" s="127"/>
      <c r="P56" s="127"/>
      <c r="Q56" s="127"/>
      <c r="R56" s="127"/>
    </row>
    <row r="57" spans="1:18" x14ac:dyDescent="0.3">
      <c r="A57" s="126">
        <v>710101</v>
      </c>
      <c r="B57" s="129" t="s">
        <v>590</v>
      </c>
      <c r="C57" s="127">
        <f>'MATERIA PRIMA'!W168</f>
        <v>1024555</v>
      </c>
      <c r="D57" s="127"/>
      <c r="E57" s="127">
        <f>C57</f>
        <v>1024555</v>
      </c>
      <c r="F57" s="127"/>
      <c r="G57" s="127">
        <f>E57</f>
        <v>1024555</v>
      </c>
      <c r="H57" s="127"/>
      <c r="I57" s="127">
        <f>G57</f>
        <v>1024555</v>
      </c>
      <c r="J57" s="127"/>
      <c r="K57" s="128"/>
      <c r="L57" s="127"/>
      <c r="M57" s="127"/>
      <c r="N57" s="127"/>
      <c r="O57" s="127"/>
      <c r="P57" s="127"/>
      <c r="Q57" s="127"/>
      <c r="R57" s="127"/>
    </row>
    <row r="58" spans="1:18" x14ac:dyDescent="0.3">
      <c r="A58" s="126">
        <v>710102</v>
      </c>
      <c r="B58" s="129" t="s">
        <v>591</v>
      </c>
      <c r="C58" s="127">
        <f>'MATERIA PRIMA'!W167</f>
        <v>613328</v>
      </c>
      <c r="D58" s="127"/>
      <c r="E58" s="127">
        <f>C58</f>
        <v>613328</v>
      </c>
      <c r="F58" s="127"/>
      <c r="G58" s="127">
        <f>E58</f>
        <v>613328</v>
      </c>
      <c r="H58" s="127"/>
      <c r="I58" s="127">
        <f>G58</f>
        <v>613328</v>
      </c>
      <c r="J58" s="127"/>
      <c r="K58" s="128"/>
      <c r="L58" s="127"/>
      <c r="M58" s="127"/>
      <c r="N58" s="127"/>
      <c r="O58" s="127"/>
      <c r="P58" s="127"/>
      <c r="Q58" s="127"/>
      <c r="R58" s="127"/>
    </row>
    <row r="59" spans="1:18" x14ac:dyDescent="0.3">
      <c r="A59" s="126">
        <v>710103</v>
      </c>
      <c r="B59" s="129" t="s">
        <v>592</v>
      </c>
      <c r="C59" s="127">
        <f>'MATERIA PRIMA'!W169</f>
        <v>257632</v>
      </c>
      <c r="D59" s="127"/>
      <c r="E59" s="127">
        <f>C59</f>
        <v>257632</v>
      </c>
      <c r="F59" s="127"/>
      <c r="G59" s="127">
        <f>E59</f>
        <v>257632</v>
      </c>
      <c r="H59" s="127"/>
      <c r="I59" s="127">
        <f>G59</f>
        <v>257632</v>
      </c>
      <c r="J59" s="127"/>
      <c r="K59" s="128"/>
      <c r="L59" s="127"/>
      <c r="M59" s="127"/>
      <c r="N59" s="127"/>
      <c r="O59" s="127"/>
      <c r="P59" s="127"/>
      <c r="Q59" s="127"/>
      <c r="R59" s="127"/>
    </row>
    <row r="60" spans="1:18" x14ac:dyDescent="0.3">
      <c r="A60" s="126">
        <v>710104</v>
      </c>
      <c r="B60" s="129" t="s">
        <v>593</v>
      </c>
      <c r="C60" s="127">
        <f>'MATERIA PRIMA'!W166</f>
        <v>804855</v>
      </c>
      <c r="D60" s="127"/>
      <c r="E60" s="127">
        <f>C60</f>
        <v>804855</v>
      </c>
      <c r="F60" s="127"/>
      <c r="G60" s="127">
        <f>E60</f>
        <v>804855</v>
      </c>
      <c r="H60" s="127"/>
      <c r="I60" s="127">
        <f>G60</f>
        <v>804855</v>
      </c>
      <c r="J60" s="127"/>
      <c r="K60" s="128"/>
      <c r="L60" s="127"/>
      <c r="M60" s="127"/>
      <c r="N60" s="127"/>
      <c r="O60" s="127"/>
      <c r="P60" s="127"/>
      <c r="Q60" s="127"/>
      <c r="R60" s="127"/>
    </row>
    <row r="61" spans="1:18" x14ac:dyDescent="0.3">
      <c r="A61" s="126">
        <v>720101</v>
      </c>
      <c r="B61" s="126" t="s">
        <v>583</v>
      </c>
      <c r="C61" s="127">
        <f>CONTABILIZACIÓN!D199+CONTABILIZACIÓN!D179</f>
        <v>1276000</v>
      </c>
      <c r="D61" s="127"/>
      <c r="E61" s="127">
        <f t="shared" ref="E61:E69" si="21">C61</f>
        <v>1276000</v>
      </c>
      <c r="F61" s="127"/>
      <c r="G61" s="127">
        <f t="shared" ref="G61:G71" si="22">E61</f>
        <v>1276000</v>
      </c>
      <c r="H61" s="127"/>
      <c r="I61" s="127">
        <f t="shared" ref="I61:I71" si="23">G61</f>
        <v>1276000</v>
      </c>
      <c r="J61" s="127"/>
      <c r="K61" s="128"/>
      <c r="L61" s="127"/>
      <c r="M61" s="127"/>
      <c r="N61" s="127"/>
      <c r="O61" s="127"/>
      <c r="P61" s="127"/>
      <c r="Q61" s="127"/>
      <c r="R61" s="127"/>
    </row>
    <row r="62" spans="1:18" x14ac:dyDescent="0.3">
      <c r="A62" s="126">
        <v>720102</v>
      </c>
      <c r="B62" s="129" t="s">
        <v>555</v>
      </c>
      <c r="C62" s="127">
        <f>CONTABILIZACIÓN!D200+CONTABILIZACIÓN!D180</f>
        <v>324000</v>
      </c>
      <c r="D62" s="127"/>
      <c r="E62" s="127">
        <f t="shared" si="21"/>
        <v>324000</v>
      </c>
      <c r="F62" s="127"/>
      <c r="G62" s="127">
        <f t="shared" si="22"/>
        <v>324000</v>
      </c>
      <c r="H62" s="127"/>
      <c r="I62" s="127">
        <f t="shared" si="23"/>
        <v>324000</v>
      </c>
      <c r="J62" s="127"/>
      <c r="K62" s="128"/>
      <c r="L62" s="127"/>
      <c r="M62" s="127"/>
      <c r="N62" s="127"/>
      <c r="O62" s="127"/>
      <c r="P62" s="127"/>
      <c r="Q62" s="127"/>
      <c r="R62" s="127"/>
    </row>
    <row r="63" spans="1:18" x14ac:dyDescent="0.3">
      <c r="A63" s="126">
        <v>720103</v>
      </c>
      <c r="B63" s="129" t="s">
        <v>556</v>
      </c>
      <c r="C63" s="127">
        <f>CONTABILIZACIÓN!D201+CONTABILIZACIÓN!D181</f>
        <v>133280</v>
      </c>
      <c r="D63" s="127"/>
      <c r="E63" s="127">
        <f t="shared" si="21"/>
        <v>133280</v>
      </c>
      <c r="F63" s="127"/>
      <c r="G63" s="127">
        <f t="shared" si="22"/>
        <v>133280</v>
      </c>
      <c r="H63" s="127"/>
      <c r="I63" s="127">
        <f t="shared" si="23"/>
        <v>133280</v>
      </c>
      <c r="J63" s="127"/>
      <c r="K63" s="128"/>
      <c r="L63" s="127"/>
      <c r="M63" s="127"/>
      <c r="N63" s="127"/>
      <c r="O63" s="127"/>
      <c r="P63" s="127"/>
      <c r="Q63" s="127"/>
      <c r="R63" s="127"/>
    </row>
    <row r="64" spans="1:18" x14ac:dyDescent="0.3">
      <c r="A64" s="126">
        <v>720104</v>
      </c>
      <c r="B64" s="129" t="s">
        <v>552</v>
      </c>
      <c r="C64" s="127">
        <f>CONTABILIZACIÓN!D202+CONTABILIZACIÓN!D182</f>
        <v>16000</v>
      </c>
      <c r="D64" s="127"/>
      <c r="E64" s="127">
        <f t="shared" si="21"/>
        <v>16000</v>
      </c>
      <c r="F64" s="127"/>
      <c r="G64" s="127">
        <f t="shared" si="22"/>
        <v>16000</v>
      </c>
      <c r="H64" s="127"/>
      <c r="I64" s="127">
        <f t="shared" si="23"/>
        <v>16000</v>
      </c>
      <c r="J64" s="127"/>
      <c r="K64" s="128"/>
      <c r="L64" s="127"/>
      <c r="M64" s="127"/>
      <c r="N64" s="127"/>
      <c r="O64" s="127"/>
      <c r="P64" s="127"/>
      <c r="Q64" s="127"/>
      <c r="R64" s="127"/>
    </row>
    <row r="65" spans="1:18" x14ac:dyDescent="0.3">
      <c r="A65" s="126">
        <v>720105</v>
      </c>
      <c r="B65" s="129" t="s">
        <v>554</v>
      </c>
      <c r="C65" s="127">
        <f>CONTABILIZACIÓN!D203+CONTABILIZACIÓN!D183</f>
        <v>133280</v>
      </c>
      <c r="D65" s="127"/>
      <c r="E65" s="127">
        <f t="shared" si="21"/>
        <v>133280</v>
      </c>
      <c r="F65" s="127"/>
      <c r="G65" s="127">
        <f t="shared" si="22"/>
        <v>133280</v>
      </c>
      <c r="H65" s="127"/>
      <c r="I65" s="127">
        <f t="shared" si="23"/>
        <v>133280</v>
      </c>
      <c r="J65" s="127"/>
      <c r="K65" s="128"/>
      <c r="L65" s="127"/>
      <c r="M65" s="127"/>
      <c r="N65" s="127"/>
      <c r="O65" s="127"/>
      <c r="P65" s="127"/>
      <c r="Q65" s="127"/>
      <c r="R65" s="127"/>
    </row>
    <row r="66" spans="1:18" x14ac:dyDescent="0.3">
      <c r="A66" s="126">
        <v>720106</v>
      </c>
      <c r="B66" s="129" t="s">
        <v>553</v>
      </c>
      <c r="C66" s="127">
        <f>CONTABILIZACIÓN!D204+CONTABILIZACIÓN!D184</f>
        <v>66720</v>
      </c>
      <c r="D66" s="127"/>
      <c r="E66" s="127">
        <f t="shared" si="21"/>
        <v>66720</v>
      </c>
      <c r="F66" s="127"/>
      <c r="G66" s="127">
        <f t="shared" si="22"/>
        <v>66720</v>
      </c>
      <c r="H66" s="127"/>
      <c r="I66" s="127">
        <f t="shared" si="23"/>
        <v>66720</v>
      </c>
      <c r="J66" s="127"/>
      <c r="K66" s="128"/>
      <c r="L66" s="127"/>
      <c r="M66" s="127"/>
      <c r="N66" s="127"/>
      <c r="O66" s="127"/>
      <c r="P66" s="127"/>
      <c r="Q66" s="127"/>
      <c r="R66" s="127"/>
    </row>
    <row r="67" spans="1:18" x14ac:dyDescent="0.3">
      <c r="A67" s="126">
        <v>720107</v>
      </c>
      <c r="B67" s="129" t="s">
        <v>529</v>
      </c>
      <c r="C67" s="127">
        <f>CONTABILIZACIÓN!D205+CONTABILIZACIÓN!D185</f>
        <v>13572</v>
      </c>
      <c r="D67" s="127"/>
      <c r="E67" s="127">
        <f t="shared" si="21"/>
        <v>13572</v>
      </c>
      <c r="F67" s="127"/>
      <c r="G67" s="127">
        <f t="shared" si="22"/>
        <v>13572</v>
      </c>
      <c r="H67" s="127"/>
      <c r="I67" s="127">
        <f t="shared" si="23"/>
        <v>13572</v>
      </c>
      <c r="J67" s="127"/>
      <c r="K67" s="128"/>
      <c r="L67" s="127"/>
      <c r="M67" s="127"/>
      <c r="N67" s="127"/>
      <c r="O67" s="127"/>
      <c r="P67" s="127"/>
      <c r="Q67" s="127"/>
      <c r="R67" s="127"/>
    </row>
    <row r="68" spans="1:18" x14ac:dyDescent="0.3">
      <c r="A68" s="126">
        <v>720108</v>
      </c>
      <c r="B68" s="129" t="s">
        <v>550</v>
      </c>
      <c r="C68" s="127">
        <f>CONTABILIZACIÓN!D206+CONTABILIZACIÓN!D186</f>
        <v>325000</v>
      </c>
      <c r="D68" s="127"/>
      <c r="E68" s="127">
        <f t="shared" si="21"/>
        <v>325000</v>
      </c>
      <c r="F68" s="127"/>
      <c r="G68" s="127">
        <f t="shared" si="22"/>
        <v>325000</v>
      </c>
      <c r="H68" s="127"/>
      <c r="I68" s="127">
        <f t="shared" si="23"/>
        <v>325000</v>
      </c>
      <c r="J68" s="127"/>
      <c r="K68" s="128"/>
      <c r="L68" s="127"/>
      <c r="M68" s="127"/>
      <c r="N68" s="127"/>
      <c r="O68" s="127"/>
      <c r="P68" s="127"/>
      <c r="Q68" s="127"/>
      <c r="R68" s="127"/>
    </row>
    <row r="69" spans="1:18" x14ac:dyDescent="0.3">
      <c r="A69" s="126">
        <v>720109</v>
      </c>
      <c r="B69" s="129" t="s">
        <v>582</v>
      </c>
      <c r="C69" s="127">
        <f>CONTABILIZACIÓN!D207+CONTABILIZACIÓN!D187</f>
        <v>416000</v>
      </c>
      <c r="D69" s="127"/>
      <c r="E69" s="127">
        <f t="shared" si="21"/>
        <v>416000</v>
      </c>
      <c r="F69" s="127"/>
      <c r="G69" s="127">
        <f t="shared" si="22"/>
        <v>416000</v>
      </c>
      <c r="H69" s="127"/>
      <c r="I69" s="127">
        <f t="shared" si="23"/>
        <v>416000</v>
      </c>
      <c r="J69" s="127"/>
      <c r="K69" s="128"/>
      <c r="L69" s="127"/>
      <c r="M69" s="127"/>
      <c r="N69" s="127"/>
      <c r="O69" s="127"/>
      <c r="P69" s="127"/>
      <c r="Q69" s="127"/>
      <c r="R69" s="127"/>
    </row>
    <row r="70" spans="1:18" x14ac:dyDescent="0.3">
      <c r="A70" s="126">
        <v>730101</v>
      </c>
      <c r="B70" s="129" t="s">
        <v>622</v>
      </c>
      <c r="C70" s="127">
        <f>DEPRECIACIÓN!G34+DEPRECIACIÓN!G18+DEPRECIACIÓN!G9</f>
        <v>135673.60084033612</v>
      </c>
      <c r="D70" s="127"/>
      <c r="E70" s="127">
        <f>C70</f>
        <v>135673.60084033612</v>
      </c>
      <c r="F70" s="127"/>
      <c r="G70" s="127">
        <f t="shared" si="22"/>
        <v>135673.60084033612</v>
      </c>
      <c r="H70" s="127"/>
      <c r="I70" s="127">
        <f t="shared" si="23"/>
        <v>135673.60084033612</v>
      </c>
      <c r="J70" s="127"/>
      <c r="K70" s="128"/>
      <c r="L70" s="127"/>
      <c r="M70" s="127"/>
      <c r="N70" s="127"/>
      <c r="O70" s="127"/>
      <c r="P70" s="127"/>
      <c r="Q70" s="127"/>
      <c r="R70" s="127"/>
    </row>
    <row r="71" spans="1:18" x14ac:dyDescent="0.3">
      <c r="A71" s="126">
        <v>730102</v>
      </c>
      <c r="B71" s="129" t="s">
        <v>623</v>
      </c>
      <c r="C71" s="127">
        <v>1200000</v>
      </c>
      <c r="D71" s="127"/>
      <c r="E71" s="127">
        <f>C71</f>
        <v>1200000</v>
      </c>
      <c r="F71" s="127"/>
      <c r="G71" s="127">
        <f t="shared" si="22"/>
        <v>1200000</v>
      </c>
      <c r="H71" s="127"/>
      <c r="I71" s="127">
        <f t="shared" si="23"/>
        <v>1200000</v>
      </c>
      <c r="J71" s="127"/>
      <c r="K71" s="128"/>
      <c r="L71" s="127"/>
      <c r="M71" s="127"/>
      <c r="N71" s="127"/>
      <c r="O71" s="127"/>
      <c r="P71" s="127"/>
      <c r="Q71" s="127"/>
      <c r="R71" s="127"/>
    </row>
    <row r="72" spans="1:18" s="133" customFormat="1" x14ac:dyDescent="0.3">
      <c r="A72" s="130"/>
      <c r="B72" s="130" t="s">
        <v>282</v>
      </c>
      <c r="C72" s="131">
        <f>SUM(C9:C71)</f>
        <v>38961885.800840341</v>
      </c>
      <c r="D72" s="131">
        <f>SUM(D9:D71)</f>
        <v>38961885.600840338</v>
      </c>
      <c r="E72" s="131">
        <f>SUM(E9:E71)</f>
        <v>38961885.800840341</v>
      </c>
      <c r="F72" s="131">
        <f>SUM(F9:F69)</f>
        <v>38961885.600840338</v>
      </c>
      <c r="G72" s="131">
        <f>SUM(G9:G71)</f>
        <v>38961885.800840341</v>
      </c>
      <c r="H72" s="131">
        <f>SUM(H9:H69)</f>
        <v>38961885.600840338</v>
      </c>
      <c r="I72" s="131">
        <f>SUM(I9:I71)</f>
        <v>36961885.800840341</v>
      </c>
      <c r="J72" s="131">
        <f>SUM(J9:J56)</f>
        <v>36961885.600840338</v>
      </c>
      <c r="K72" s="132">
        <f>SUM(K9:K56)</f>
        <v>4385498</v>
      </c>
      <c r="L72" s="131">
        <f>SUM(L9:L56)</f>
        <v>7983371.6008403357</v>
      </c>
      <c r="M72" s="131">
        <f t="shared" ref="M72:R72" si="24">SUM(M9:M55)</f>
        <v>4385498</v>
      </c>
      <c r="N72" s="131">
        <f t="shared" si="24"/>
        <v>7983371.6008403357</v>
      </c>
      <c r="O72" s="131">
        <f t="shared" si="24"/>
        <v>4385498</v>
      </c>
      <c r="P72" s="131">
        <f t="shared" si="24"/>
        <v>7983371.6008403357</v>
      </c>
      <c r="Q72" s="131">
        <f t="shared" si="24"/>
        <v>4385498</v>
      </c>
      <c r="R72" s="131">
        <f t="shared" si="24"/>
        <v>7983371.6008403357</v>
      </c>
    </row>
    <row r="73" spans="1:18" x14ac:dyDescent="0.3">
      <c r="C73" s="121">
        <f>D72-C72</f>
        <v>-0.20000000298023224</v>
      </c>
      <c r="E73" s="121">
        <f>D72-E72</f>
        <v>-0.20000000298023224</v>
      </c>
      <c r="I73" s="121">
        <f>J72-I72</f>
        <v>-0.20000000298023224</v>
      </c>
      <c r="K73" s="120">
        <f>K72-L72</f>
        <v>-3597873.6008403357</v>
      </c>
    </row>
  </sheetData>
  <mergeCells count="22">
    <mergeCell ref="K6:R6"/>
    <mergeCell ref="A1:E1"/>
    <mergeCell ref="F1:J1"/>
    <mergeCell ref="A2:E2"/>
    <mergeCell ref="F2:J2"/>
    <mergeCell ref="A3:E3"/>
    <mergeCell ref="F3:J3"/>
    <mergeCell ref="A4:E4"/>
    <mergeCell ref="F4:J4"/>
    <mergeCell ref="A5:E5"/>
    <mergeCell ref="F5:J5"/>
    <mergeCell ref="C6:J6"/>
    <mergeCell ref="K7:L7"/>
    <mergeCell ref="M7:N7"/>
    <mergeCell ref="O7:P7"/>
    <mergeCell ref="Q7:R7"/>
    <mergeCell ref="A7:A8"/>
    <mergeCell ref="B7:B8"/>
    <mergeCell ref="C7:D7"/>
    <mergeCell ref="E7:F7"/>
    <mergeCell ref="G7:H7"/>
    <mergeCell ref="I7:J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07C68-ADB4-4574-97E7-3A9E21A3365F}">
  <dimension ref="A4:V298"/>
  <sheetViews>
    <sheetView topLeftCell="A213" zoomScale="115" zoomScaleNormal="115" workbookViewId="0">
      <selection activeCell="F228" sqref="E228:F228"/>
    </sheetView>
  </sheetViews>
  <sheetFormatPr baseColWidth="10" defaultRowHeight="15" x14ac:dyDescent="0.25"/>
  <cols>
    <col min="1" max="1" width="12.140625" bestFit="1" customWidth="1"/>
    <col min="3" max="3" width="23.140625" customWidth="1"/>
    <col min="4" max="4" width="18.28515625" customWidth="1"/>
    <col min="5" max="5" width="17.7109375" customWidth="1"/>
    <col min="7" max="7" width="13.140625" bestFit="1" customWidth="1"/>
    <col min="11" max="11" width="12.85546875" bestFit="1" customWidth="1"/>
    <col min="12" max="12" width="11.85546875" bestFit="1" customWidth="1"/>
    <col min="15" max="15" width="13" bestFit="1" customWidth="1"/>
    <col min="16" max="16" width="11.7109375" bestFit="1" customWidth="1"/>
    <col min="17" max="17" width="16.7109375" bestFit="1" customWidth="1"/>
    <col min="18" max="18" width="13.28515625" bestFit="1" customWidth="1"/>
  </cols>
  <sheetData>
    <row r="4" spans="1:17" ht="15.75" thickBot="1" x14ac:dyDescent="0.3"/>
    <row r="5" spans="1:17" ht="15.75" thickBot="1" x14ac:dyDescent="0.3">
      <c r="B5" s="134"/>
      <c r="C5" s="134"/>
      <c r="D5" s="134"/>
      <c r="E5" s="135"/>
      <c r="F5" s="135"/>
      <c r="G5" s="136" t="s">
        <v>283</v>
      </c>
      <c r="H5" s="134"/>
      <c r="I5" s="134"/>
      <c r="J5" s="134"/>
    </row>
    <row r="6" spans="1:17" ht="15.75" thickBot="1" x14ac:dyDescent="0.3">
      <c r="B6" s="134"/>
      <c r="C6" s="134"/>
      <c r="D6" s="134"/>
      <c r="E6" s="135"/>
      <c r="F6" s="135"/>
      <c r="G6" s="134" t="s">
        <v>284</v>
      </c>
      <c r="H6" s="137">
        <f>H8/1.19</f>
        <v>1204570.5882352942</v>
      </c>
      <c r="I6" s="134"/>
      <c r="J6" s="134"/>
    </row>
    <row r="7" spans="1:17" ht="15.75" thickBot="1" x14ac:dyDescent="0.3">
      <c r="B7" s="134"/>
      <c r="C7" s="134"/>
      <c r="D7" s="134"/>
      <c r="E7" s="135"/>
      <c r="F7" s="135"/>
      <c r="G7" s="134" t="s">
        <v>285</v>
      </c>
      <c r="H7" s="137">
        <f>H6*19%</f>
        <v>228868.4117647059</v>
      </c>
      <c r="I7" s="134" t="s">
        <v>286</v>
      </c>
      <c r="J7" s="137">
        <f>H6*2.5%</f>
        <v>30114.264705882357</v>
      </c>
    </row>
    <row r="8" spans="1:17" ht="15.75" thickBot="1" x14ac:dyDescent="0.3">
      <c r="B8" s="134"/>
      <c r="C8" s="134"/>
      <c r="D8" s="134"/>
      <c r="E8" s="134"/>
      <c r="F8" s="134"/>
      <c r="G8" s="134" t="s">
        <v>126</v>
      </c>
      <c r="H8" s="137">
        <v>1433439</v>
      </c>
      <c r="I8" s="134"/>
      <c r="J8" s="134"/>
    </row>
    <row r="9" spans="1:17" ht="15.75" thickBot="1" x14ac:dyDescent="0.3">
      <c r="B9" s="138"/>
      <c r="C9" s="138" t="s">
        <v>287</v>
      </c>
      <c r="D9" s="138"/>
      <c r="E9" s="138"/>
      <c r="F9" s="134"/>
      <c r="G9" s="134"/>
      <c r="H9" s="134"/>
      <c r="I9" s="134"/>
      <c r="J9" s="134"/>
    </row>
    <row r="10" spans="1:17" ht="15.75" thickBot="1" x14ac:dyDescent="0.3">
      <c r="B10" s="139" t="s">
        <v>559</v>
      </c>
      <c r="C10" s="140" t="s">
        <v>288</v>
      </c>
      <c r="D10" s="140" t="s">
        <v>560</v>
      </c>
      <c r="E10" s="140" t="s">
        <v>561</v>
      </c>
      <c r="F10" s="134"/>
      <c r="G10" s="134"/>
      <c r="H10" s="134"/>
      <c r="I10" s="134"/>
      <c r="J10" s="134"/>
      <c r="K10" t="s">
        <v>289</v>
      </c>
    </row>
    <row r="11" spans="1:17" ht="15.75" thickBot="1" x14ac:dyDescent="0.3">
      <c r="A11" s="141">
        <v>45488</v>
      </c>
      <c r="B11" s="142">
        <v>152410</v>
      </c>
      <c r="C11" s="143" t="s">
        <v>232</v>
      </c>
      <c r="D11" s="144">
        <f>H6</f>
        <v>1204570.5882352942</v>
      </c>
      <c r="E11" s="140"/>
      <c r="F11" s="134"/>
      <c r="G11" s="134"/>
      <c r="H11" s="134"/>
      <c r="I11" s="134"/>
      <c r="J11" s="134"/>
    </row>
    <row r="12" spans="1:17" ht="15.75" thickBot="1" x14ac:dyDescent="0.3">
      <c r="B12" s="142">
        <v>240402</v>
      </c>
      <c r="C12" s="143" t="s">
        <v>290</v>
      </c>
      <c r="D12" s="144">
        <f>H7</f>
        <v>228868.4117647059</v>
      </c>
      <c r="E12" s="140"/>
      <c r="F12" s="134"/>
      <c r="G12" s="134"/>
      <c r="H12" s="134"/>
      <c r="I12" s="134"/>
      <c r="J12" s="134"/>
    </row>
    <row r="13" spans="1:17" ht="15.75" thickBot="1" x14ac:dyDescent="0.3">
      <c r="B13" s="142">
        <v>242208</v>
      </c>
      <c r="C13" s="143" t="s">
        <v>291</v>
      </c>
      <c r="D13" s="140"/>
      <c r="E13" s="144">
        <f>J7</f>
        <v>30114.264705882357</v>
      </c>
      <c r="F13" s="134"/>
      <c r="G13" s="134"/>
      <c r="H13" s="134"/>
      <c r="I13" s="134"/>
      <c r="J13" s="134"/>
      <c r="N13" s="145" t="s">
        <v>292</v>
      </c>
      <c r="O13" s="11">
        <v>1300000</v>
      </c>
      <c r="P13" s="11">
        <v>500</v>
      </c>
      <c r="Q13" s="146">
        <f>O13*P13</f>
        <v>650000000</v>
      </c>
    </row>
    <row r="14" spans="1:17" ht="15.75" thickBot="1" x14ac:dyDescent="0.3">
      <c r="B14" s="142">
        <v>221101</v>
      </c>
      <c r="C14" s="143" t="s">
        <v>293</v>
      </c>
      <c r="D14" s="140"/>
      <c r="E14" s="144">
        <f>D15-E13</f>
        <v>1403324.7352941176</v>
      </c>
      <c r="F14" s="134"/>
      <c r="G14" s="134"/>
      <c r="H14" s="134"/>
      <c r="I14" s="134"/>
      <c r="J14" s="134"/>
      <c r="N14" s="145" t="s">
        <v>294</v>
      </c>
      <c r="O14" s="11">
        <v>1300000</v>
      </c>
      <c r="P14" s="11">
        <v>6000</v>
      </c>
      <c r="Q14" s="146">
        <f>O14*P14</f>
        <v>7800000000</v>
      </c>
    </row>
    <row r="15" spans="1:17" ht="15.75" thickBot="1" x14ac:dyDescent="0.3">
      <c r="B15" s="147"/>
      <c r="C15" s="147" t="s">
        <v>295</v>
      </c>
      <c r="D15" s="137">
        <f>D12+D11</f>
        <v>1433439</v>
      </c>
      <c r="E15" s="137">
        <f>E14+E13</f>
        <v>1433439</v>
      </c>
      <c r="F15" s="134"/>
      <c r="G15" s="134"/>
      <c r="H15" s="134"/>
      <c r="I15" s="134"/>
      <c r="J15" s="134"/>
    </row>
    <row r="16" spans="1:17" ht="15.75" thickBot="1" x14ac:dyDescent="0.3">
      <c r="B16" s="136" t="s">
        <v>296</v>
      </c>
      <c r="C16" s="134"/>
      <c r="D16" s="134"/>
      <c r="E16" s="134"/>
      <c r="F16" s="134"/>
      <c r="G16" s="134"/>
      <c r="H16" s="134"/>
      <c r="I16" s="134"/>
      <c r="J16" s="134"/>
    </row>
    <row r="17" spans="1:10" ht="15.75" thickBot="1" x14ac:dyDescent="0.3">
      <c r="B17" s="148"/>
      <c r="C17" s="149"/>
      <c r="D17" s="149"/>
      <c r="E17" s="149"/>
      <c r="F17" s="149"/>
      <c r="G17" s="134"/>
      <c r="H17" s="134"/>
      <c r="I17" s="134"/>
      <c r="J17" s="134"/>
    </row>
    <row r="18" spans="1:10" ht="15.75" thickBot="1" x14ac:dyDescent="0.3">
      <c r="B18" s="139" t="s">
        <v>559</v>
      </c>
      <c r="C18" s="140" t="s">
        <v>288</v>
      </c>
      <c r="D18" s="140" t="s">
        <v>560</v>
      </c>
      <c r="E18" s="140" t="s">
        <v>561</v>
      </c>
      <c r="F18" s="149"/>
      <c r="G18" s="134"/>
      <c r="H18" s="134"/>
      <c r="I18" s="134"/>
      <c r="J18" s="134"/>
    </row>
    <row r="19" spans="1:10" ht="15.75" thickBot="1" x14ac:dyDescent="0.3">
      <c r="A19" s="141">
        <v>45489</v>
      </c>
      <c r="B19" s="151">
        <v>110505</v>
      </c>
      <c r="C19" s="152" t="s">
        <v>297</v>
      </c>
      <c r="D19" s="153">
        <v>3000000</v>
      </c>
      <c r="E19" s="154"/>
      <c r="F19" s="149"/>
      <c r="G19" s="134"/>
      <c r="H19" s="134"/>
      <c r="I19" s="134"/>
      <c r="J19" s="134"/>
    </row>
    <row r="20" spans="1:10" ht="15.75" thickBot="1" x14ac:dyDescent="0.3">
      <c r="B20" s="142">
        <v>111005</v>
      </c>
      <c r="C20" s="143" t="s">
        <v>298</v>
      </c>
      <c r="D20" s="140"/>
      <c r="E20" s="144">
        <f>D19</f>
        <v>3000000</v>
      </c>
      <c r="F20" s="149"/>
      <c r="G20" s="134"/>
      <c r="H20" s="134"/>
      <c r="I20" s="134"/>
      <c r="J20" s="134"/>
    </row>
    <row r="21" spans="1:10" ht="15.75" thickBot="1" x14ac:dyDescent="0.3">
      <c r="B21" s="147"/>
      <c r="C21" s="147" t="s">
        <v>295</v>
      </c>
      <c r="D21" s="137">
        <f>D19</f>
        <v>3000000</v>
      </c>
      <c r="E21" s="137">
        <f>E20</f>
        <v>3000000</v>
      </c>
      <c r="F21" s="149"/>
      <c r="G21" s="134"/>
      <c r="H21" s="134"/>
      <c r="I21" s="134"/>
      <c r="J21" s="134"/>
    </row>
    <row r="22" spans="1:10" ht="15.75" thickBot="1" x14ac:dyDescent="0.3">
      <c r="B22" s="136" t="s">
        <v>299</v>
      </c>
      <c r="C22" s="134"/>
      <c r="D22" s="134"/>
      <c r="E22" s="134"/>
      <c r="F22" s="149"/>
      <c r="G22" s="134"/>
      <c r="H22" s="134"/>
      <c r="I22" s="134"/>
      <c r="J22" s="134"/>
    </row>
    <row r="23" spans="1:10" ht="15.75" thickBot="1" x14ac:dyDescent="0.3">
      <c r="G23" s="136" t="s">
        <v>300</v>
      </c>
      <c r="H23" s="134"/>
      <c r="I23" s="134"/>
      <c r="J23" s="134"/>
    </row>
    <row r="24" spans="1:10" ht="15.75" thickBot="1" x14ac:dyDescent="0.3">
      <c r="B24" s="139" t="s">
        <v>559</v>
      </c>
      <c r="C24" s="140" t="s">
        <v>288</v>
      </c>
      <c r="D24" s="140" t="s">
        <v>560</v>
      </c>
      <c r="E24" s="140" t="s">
        <v>561</v>
      </c>
      <c r="F24" s="134"/>
      <c r="G24" s="134" t="s">
        <v>284</v>
      </c>
      <c r="H24" s="137">
        <f>H26/1.19</f>
        <v>1680672.2689075631</v>
      </c>
      <c r="I24" s="134"/>
      <c r="J24" s="134"/>
    </row>
    <row r="25" spans="1:10" ht="15.75" thickBot="1" x14ac:dyDescent="0.3">
      <c r="A25" s="141">
        <v>45490</v>
      </c>
      <c r="B25" s="142">
        <v>152495</v>
      </c>
      <c r="C25" s="143" t="s">
        <v>267</v>
      </c>
      <c r="D25" s="144">
        <f>H24</f>
        <v>1680672.2689075631</v>
      </c>
      <c r="E25" s="140"/>
      <c r="F25" s="134"/>
      <c r="G25" s="134" t="s">
        <v>285</v>
      </c>
      <c r="H25" s="137">
        <f>H24*19%</f>
        <v>319327.731092437</v>
      </c>
      <c r="I25" s="134" t="s">
        <v>286</v>
      </c>
      <c r="J25" s="137">
        <f>H24*2.5%</f>
        <v>42016.806722689078</v>
      </c>
    </row>
    <row r="26" spans="1:10" ht="15.75" thickBot="1" x14ac:dyDescent="0.3">
      <c r="B26" s="142">
        <v>240402</v>
      </c>
      <c r="C26" s="143" t="s">
        <v>290</v>
      </c>
      <c r="D26" s="144">
        <f>H25</f>
        <v>319327.731092437</v>
      </c>
      <c r="E26" s="140"/>
      <c r="F26" s="134"/>
      <c r="G26" s="134" t="s">
        <v>126</v>
      </c>
      <c r="H26" s="137">
        <v>2000000</v>
      </c>
      <c r="I26" s="134"/>
      <c r="J26" s="134"/>
    </row>
    <row r="27" spans="1:10" ht="15.75" thickBot="1" x14ac:dyDescent="0.3">
      <c r="B27" s="142">
        <v>221101</v>
      </c>
      <c r="C27" s="143" t="s">
        <v>293</v>
      </c>
      <c r="D27" s="140"/>
      <c r="E27" s="144">
        <f>D25+D26</f>
        <v>2000000</v>
      </c>
      <c r="F27" s="134"/>
      <c r="G27" s="134"/>
    </row>
    <row r="28" spans="1:10" ht="15.75" thickBot="1" x14ac:dyDescent="0.3">
      <c r="B28" s="147"/>
      <c r="C28" s="147" t="s">
        <v>295</v>
      </c>
      <c r="D28" s="137">
        <f>D26+D25</f>
        <v>2000000</v>
      </c>
      <c r="E28" s="137">
        <f>E27</f>
        <v>2000000</v>
      </c>
      <c r="F28" s="134"/>
      <c r="G28" s="134"/>
    </row>
    <row r="29" spans="1:10" ht="15.75" thickBot="1" x14ac:dyDescent="0.3">
      <c r="B29" s="136" t="s">
        <v>301</v>
      </c>
      <c r="C29" s="134"/>
      <c r="D29" s="134"/>
      <c r="E29" s="134"/>
      <c r="F29" s="134"/>
      <c r="G29" s="134"/>
    </row>
    <row r="30" spans="1:10" x14ac:dyDescent="0.25">
      <c r="B30" s="148"/>
      <c r="C30" s="149"/>
      <c r="D30" s="149"/>
      <c r="E30" s="149"/>
      <c r="F30" s="149"/>
      <c r="G30" s="149"/>
    </row>
    <row r="31" spans="1:10" ht="15.75" thickBot="1" x14ac:dyDescent="0.3">
      <c r="B31" s="148"/>
      <c r="C31" s="149"/>
      <c r="D31" s="149"/>
      <c r="E31" s="149"/>
      <c r="F31" s="149"/>
      <c r="G31" s="149"/>
    </row>
    <row r="32" spans="1:10" ht="15.75" thickBot="1" x14ac:dyDescent="0.3">
      <c r="B32" s="139" t="s">
        <v>559</v>
      </c>
      <c r="C32" s="140" t="s">
        <v>288</v>
      </c>
      <c r="D32" s="140" t="s">
        <v>560</v>
      </c>
      <c r="E32" s="140" t="s">
        <v>561</v>
      </c>
      <c r="F32" s="149"/>
      <c r="G32" s="149"/>
    </row>
    <row r="33" spans="1:22" ht="15.75" thickBot="1" x14ac:dyDescent="0.3">
      <c r="A33" s="141">
        <v>45491</v>
      </c>
      <c r="B33" s="142">
        <v>154030</v>
      </c>
      <c r="C33" s="143" t="s">
        <v>302</v>
      </c>
      <c r="D33" s="144">
        <v>7000000</v>
      </c>
      <c r="E33" s="140"/>
      <c r="F33" s="149"/>
      <c r="G33" s="149"/>
    </row>
    <row r="34" spans="1:22" ht="15.75" thickBot="1" x14ac:dyDescent="0.3">
      <c r="B34" s="142">
        <v>240402</v>
      </c>
      <c r="C34" s="143" t="s">
        <v>290</v>
      </c>
      <c r="D34" s="144">
        <f>D33*19%</f>
        <v>1330000</v>
      </c>
      <c r="E34" s="140"/>
      <c r="F34" s="149"/>
      <c r="G34" s="149"/>
    </row>
    <row r="35" spans="1:22" ht="15.75" thickBot="1" x14ac:dyDescent="0.3">
      <c r="B35" s="142">
        <v>221101</v>
      </c>
      <c r="C35" s="143" t="s">
        <v>293</v>
      </c>
      <c r="D35" s="140"/>
      <c r="E35" s="144">
        <f>D33+D34</f>
        <v>8330000</v>
      </c>
      <c r="F35" s="149"/>
      <c r="G35" s="149"/>
    </row>
    <row r="36" spans="1:22" ht="15.75" thickBot="1" x14ac:dyDescent="0.3">
      <c r="B36" s="147"/>
      <c r="C36" s="147" t="s">
        <v>295</v>
      </c>
      <c r="D36" s="137">
        <f>D34+D33</f>
        <v>8330000</v>
      </c>
      <c r="E36" s="137">
        <f>E35</f>
        <v>8330000</v>
      </c>
      <c r="F36" s="149"/>
      <c r="G36" s="149"/>
    </row>
    <row r="37" spans="1:22" ht="15.75" thickBot="1" x14ac:dyDescent="0.3">
      <c r="B37" s="136" t="s">
        <v>303</v>
      </c>
      <c r="C37" s="134"/>
      <c r="D37" s="134"/>
      <c r="E37" s="134"/>
      <c r="F37" s="149"/>
      <c r="G37" s="149"/>
    </row>
    <row r="38" spans="1:22" ht="15.75" thickBot="1" x14ac:dyDescent="0.3">
      <c r="K38" s="9">
        <f>K40/1.19</f>
        <v>100840.33613445378</v>
      </c>
    </row>
    <row r="39" spans="1:22" ht="15.75" thickBot="1" x14ac:dyDescent="0.3">
      <c r="G39" s="136" t="s">
        <v>300</v>
      </c>
      <c r="H39" s="134"/>
      <c r="I39" s="134"/>
      <c r="J39" s="134"/>
      <c r="K39" s="9">
        <f>K38*19%</f>
        <v>19159.663865546219</v>
      </c>
    </row>
    <row r="40" spans="1:22" ht="15.75" thickBot="1" x14ac:dyDescent="0.3">
      <c r="B40" s="150" t="s">
        <v>559</v>
      </c>
      <c r="C40" s="150" t="s">
        <v>288</v>
      </c>
      <c r="D40" s="150" t="s">
        <v>560</v>
      </c>
      <c r="E40" s="150" t="s">
        <v>561</v>
      </c>
      <c r="F40" s="160"/>
      <c r="G40" s="134" t="s">
        <v>284</v>
      </c>
      <c r="H40" s="137">
        <f>K38*10</f>
        <v>1008403.3613445378</v>
      </c>
      <c r="I40" s="134"/>
      <c r="J40" s="134"/>
      <c r="K40" s="155">
        <v>120000</v>
      </c>
      <c r="L40" s="9">
        <f>K40*10</f>
        <v>1200000</v>
      </c>
    </row>
    <row r="41" spans="1:22" ht="15.75" thickBot="1" x14ac:dyDescent="0.3">
      <c r="B41" s="151">
        <v>152496</v>
      </c>
      <c r="C41" s="152" t="s">
        <v>304</v>
      </c>
      <c r="D41" s="153">
        <f>K38*10</f>
        <v>1008403.3613445378</v>
      </c>
      <c r="E41" s="154"/>
      <c r="F41" s="134"/>
      <c r="G41" s="134" t="s">
        <v>285</v>
      </c>
      <c r="H41" s="137">
        <f>K39*10</f>
        <v>191596.63865546219</v>
      </c>
      <c r="I41" s="134"/>
      <c r="J41" s="137"/>
    </row>
    <row r="42" spans="1:22" ht="15.75" thickBot="1" x14ac:dyDescent="0.3">
      <c r="A42" s="141">
        <v>45489</v>
      </c>
      <c r="B42" s="142">
        <v>240402</v>
      </c>
      <c r="C42" s="143" t="s">
        <v>290</v>
      </c>
      <c r="D42" s="144">
        <f>K39*10</f>
        <v>191596.63865546219</v>
      </c>
      <c r="E42" s="140"/>
      <c r="F42" s="134"/>
      <c r="G42" s="134" t="s">
        <v>126</v>
      </c>
      <c r="H42" s="137">
        <f>H40+H41</f>
        <v>1200000</v>
      </c>
      <c r="I42" s="134"/>
      <c r="J42" s="134"/>
    </row>
    <row r="43" spans="1:22" ht="15.75" thickBot="1" x14ac:dyDescent="0.3">
      <c r="B43" s="142">
        <v>221101</v>
      </c>
      <c r="C43" s="143" t="s">
        <v>293</v>
      </c>
      <c r="D43" s="140"/>
      <c r="E43" s="144">
        <f>K40*10</f>
        <v>1200000</v>
      </c>
      <c r="F43" s="134"/>
      <c r="G43" s="134"/>
      <c r="V43" s="156"/>
    </row>
    <row r="44" spans="1:22" ht="15.75" thickBot="1" x14ac:dyDescent="0.3">
      <c r="B44" s="147"/>
      <c r="C44" s="147" t="s">
        <v>295</v>
      </c>
      <c r="D44" s="137">
        <f>D42+D41</f>
        <v>1200000</v>
      </c>
      <c r="E44" s="137">
        <f>E43</f>
        <v>1200000</v>
      </c>
      <c r="F44" s="134"/>
      <c r="G44" s="134"/>
    </row>
    <row r="45" spans="1:22" ht="15.75" thickBot="1" x14ac:dyDescent="0.3">
      <c r="B45" s="136" t="s">
        <v>305</v>
      </c>
      <c r="C45" s="134"/>
      <c r="D45" s="134"/>
      <c r="E45" s="134"/>
      <c r="F45" s="134"/>
      <c r="G45" s="134"/>
      <c r="J45">
        <v>612009</v>
      </c>
      <c r="K45" t="s">
        <v>306</v>
      </c>
    </row>
    <row r="46" spans="1:22" ht="15.75" thickBot="1" x14ac:dyDescent="0.3"/>
    <row r="47" spans="1:22" ht="15.75" thickBot="1" x14ac:dyDescent="0.3">
      <c r="B47" s="150" t="s">
        <v>559</v>
      </c>
      <c r="C47" s="150" t="s">
        <v>288</v>
      </c>
      <c r="D47" s="150" t="s">
        <v>560</v>
      </c>
      <c r="E47" s="150" t="s">
        <v>561</v>
      </c>
      <c r="F47" s="134"/>
      <c r="J47" s="136" t="s">
        <v>307</v>
      </c>
      <c r="K47" s="134"/>
      <c r="L47" s="134"/>
      <c r="M47" s="134"/>
      <c r="N47" s="9">
        <v>119610</v>
      </c>
      <c r="O47" s="9">
        <f>N47*10</f>
        <v>1196100</v>
      </c>
      <c r="P47" s="9">
        <f>N47*5</f>
        <v>598050</v>
      </c>
    </row>
    <row r="48" spans="1:22" ht="15.75" thickBot="1" x14ac:dyDescent="0.3">
      <c r="A48" s="141">
        <v>45495</v>
      </c>
      <c r="B48" s="142">
        <v>710101</v>
      </c>
      <c r="C48" s="143" t="s">
        <v>308</v>
      </c>
      <c r="D48" s="144">
        <f>O47</f>
        <v>1196100</v>
      </c>
      <c r="E48" s="140"/>
      <c r="F48" s="134"/>
      <c r="J48" s="134" t="s">
        <v>284</v>
      </c>
      <c r="K48" s="137">
        <f>N46*10</f>
        <v>0</v>
      </c>
      <c r="L48" s="134"/>
      <c r="M48" s="134"/>
      <c r="N48" s="9">
        <f>N47*5%</f>
        <v>5980.5</v>
      </c>
      <c r="O48" s="9">
        <f>N48*10</f>
        <v>59805</v>
      </c>
    </row>
    <row r="49" spans="1:15" ht="15.75" thickBot="1" x14ac:dyDescent="0.3">
      <c r="B49" s="142">
        <v>240402</v>
      </c>
      <c r="C49" s="143" t="s">
        <v>309</v>
      </c>
      <c r="D49" s="144">
        <f>O48</f>
        <v>59805</v>
      </c>
      <c r="E49" s="140"/>
      <c r="F49" s="134"/>
      <c r="J49" s="134" t="s">
        <v>285</v>
      </c>
      <c r="K49" s="137">
        <f>N47*10</f>
        <v>1196100</v>
      </c>
      <c r="L49" s="134"/>
      <c r="M49" s="137"/>
      <c r="N49" s="155">
        <v>120000</v>
      </c>
      <c r="O49" s="9">
        <f>O48+O47</f>
        <v>1255905</v>
      </c>
    </row>
    <row r="50" spans="1:15" ht="15.75" thickBot="1" x14ac:dyDescent="0.3">
      <c r="B50" s="142">
        <v>221101</v>
      </c>
      <c r="C50" s="143" t="s">
        <v>293</v>
      </c>
      <c r="D50" s="140"/>
      <c r="E50" s="144">
        <f>O49</f>
        <v>1255905</v>
      </c>
      <c r="F50" s="134"/>
      <c r="J50" s="134" t="s">
        <v>126</v>
      </c>
      <c r="K50" s="137">
        <f>K48+K49</f>
        <v>1196100</v>
      </c>
      <c r="L50" s="134"/>
      <c r="M50" s="134"/>
    </row>
    <row r="51" spans="1:15" ht="15.75" thickBot="1" x14ac:dyDescent="0.3">
      <c r="B51" s="147"/>
      <c r="C51" s="147" t="s">
        <v>295</v>
      </c>
      <c r="D51" s="137">
        <f>D49+D48</f>
        <v>1255905</v>
      </c>
      <c r="E51" s="137">
        <f>E50</f>
        <v>1255905</v>
      </c>
      <c r="F51" s="134"/>
    </row>
    <row r="52" spans="1:15" ht="15.75" thickBot="1" x14ac:dyDescent="0.3">
      <c r="B52" s="136" t="s">
        <v>310</v>
      </c>
      <c r="C52" s="134"/>
      <c r="D52" s="134"/>
      <c r="E52" s="134"/>
      <c r="F52" s="134"/>
      <c r="L52" s="9">
        <f>L54/1.19</f>
        <v>4873.9495798319331</v>
      </c>
      <c r="M52" s="9">
        <f>L52*6</f>
        <v>29243.697478991598</v>
      </c>
      <c r="N52" s="9">
        <f>L52*3</f>
        <v>14621.848739495799</v>
      </c>
    </row>
    <row r="53" spans="1:15" ht="15.75" thickBot="1" x14ac:dyDescent="0.3">
      <c r="L53" s="9">
        <f>L52*19%</f>
        <v>926.05042016806726</v>
      </c>
      <c r="M53" s="9">
        <f>L53*6</f>
        <v>5556.3025210084033</v>
      </c>
    </row>
    <row r="54" spans="1:15" ht="15.75" thickBot="1" x14ac:dyDescent="0.3">
      <c r="B54" s="139" t="s">
        <v>559</v>
      </c>
      <c r="C54" s="140" t="s">
        <v>288</v>
      </c>
      <c r="D54" s="140" t="s">
        <v>560</v>
      </c>
      <c r="E54" s="140" t="s">
        <v>561</v>
      </c>
      <c r="F54" s="134"/>
      <c r="L54" s="155">
        <v>5800</v>
      </c>
      <c r="M54" s="9">
        <f>L54*6</f>
        <v>34800</v>
      </c>
    </row>
    <row r="55" spans="1:15" ht="15.75" thickBot="1" x14ac:dyDescent="0.3">
      <c r="A55" s="141">
        <v>45493</v>
      </c>
      <c r="B55" s="142">
        <v>710102</v>
      </c>
      <c r="C55" s="143" t="s">
        <v>311</v>
      </c>
      <c r="D55" s="144">
        <f>M52</f>
        <v>29243.697478991598</v>
      </c>
      <c r="E55" s="140"/>
      <c r="F55" s="134"/>
    </row>
    <row r="56" spans="1:15" ht="15.75" thickBot="1" x14ac:dyDescent="0.3">
      <c r="B56" s="142">
        <v>240402</v>
      </c>
      <c r="C56" s="143" t="s">
        <v>312</v>
      </c>
      <c r="D56" s="144">
        <f>M53</f>
        <v>5556.3025210084033</v>
      </c>
      <c r="E56" s="140"/>
      <c r="F56" s="134"/>
    </row>
    <row r="57" spans="1:15" ht="15.75" thickBot="1" x14ac:dyDescent="0.3">
      <c r="B57" s="142">
        <v>221101</v>
      </c>
      <c r="C57" s="143" t="s">
        <v>313</v>
      </c>
      <c r="D57" s="140"/>
      <c r="E57" s="144">
        <f>M54</f>
        <v>34800</v>
      </c>
      <c r="F57" s="134"/>
    </row>
    <row r="58" spans="1:15" ht="15.75" thickBot="1" x14ac:dyDescent="0.3">
      <c r="B58" s="147"/>
      <c r="C58" s="147" t="s">
        <v>295</v>
      </c>
      <c r="D58" s="137">
        <f>D56+D55</f>
        <v>34800</v>
      </c>
      <c r="E58" s="137">
        <f>E57</f>
        <v>34800</v>
      </c>
      <c r="F58" s="134"/>
    </row>
    <row r="59" spans="1:15" ht="15.75" thickBot="1" x14ac:dyDescent="0.3">
      <c r="B59" s="136" t="s">
        <v>314</v>
      </c>
      <c r="C59" s="134"/>
      <c r="D59" s="134"/>
      <c r="E59" s="134"/>
      <c r="F59" s="134"/>
    </row>
    <row r="60" spans="1:15" ht="15.75" thickBot="1" x14ac:dyDescent="0.3"/>
    <row r="61" spans="1:15" ht="15.75" thickBot="1" x14ac:dyDescent="0.3">
      <c r="B61" s="139" t="s">
        <v>559</v>
      </c>
      <c r="C61" s="140" t="s">
        <v>288</v>
      </c>
      <c r="D61" s="140" t="s">
        <v>560</v>
      </c>
      <c r="E61" s="140" t="s">
        <v>561</v>
      </c>
      <c r="F61" s="134"/>
      <c r="L61" t="s">
        <v>315</v>
      </c>
    </row>
    <row r="62" spans="1:15" ht="15.75" thickBot="1" x14ac:dyDescent="0.3">
      <c r="A62" s="141">
        <v>45482</v>
      </c>
      <c r="B62" s="142">
        <v>710103</v>
      </c>
      <c r="C62" s="143" t="s">
        <v>316</v>
      </c>
      <c r="D62" s="144">
        <v>294000</v>
      </c>
      <c r="E62" s="140"/>
      <c r="F62" s="134"/>
      <c r="I62" s="157"/>
      <c r="J62" s="157"/>
      <c r="K62" s="2"/>
      <c r="L62" s="2"/>
      <c r="M62" s="2"/>
    </row>
    <row r="63" spans="1:15" ht="15.75" thickBot="1" x14ac:dyDescent="0.3">
      <c r="B63" s="142">
        <v>240402</v>
      </c>
      <c r="C63" s="143" t="s">
        <v>317</v>
      </c>
      <c r="D63" s="144">
        <f>K63</f>
        <v>55860</v>
      </c>
      <c r="E63" s="140"/>
      <c r="F63" s="134"/>
      <c r="I63" s="2" t="s">
        <v>318</v>
      </c>
      <c r="J63" s="2">
        <v>294000</v>
      </c>
      <c r="K63" s="2">
        <f>J63*19%</f>
        <v>55860</v>
      </c>
      <c r="L63" s="2">
        <v>3</v>
      </c>
      <c r="M63" s="2">
        <f>J63</f>
        <v>294000</v>
      </c>
    </row>
    <row r="64" spans="1:15" ht="15.75" thickBot="1" x14ac:dyDescent="0.3">
      <c r="B64" s="142">
        <v>221101</v>
      </c>
      <c r="C64" s="143" t="s">
        <v>319</v>
      </c>
      <c r="D64" s="140"/>
      <c r="E64" s="144">
        <f>D62+D63</f>
        <v>349860</v>
      </c>
      <c r="F64" s="134"/>
      <c r="I64" s="2" t="s">
        <v>320</v>
      </c>
      <c r="J64" s="2">
        <v>50400</v>
      </c>
      <c r="K64" s="2">
        <f>J64*19%</f>
        <v>9576</v>
      </c>
      <c r="L64" s="2">
        <v>2</v>
      </c>
      <c r="M64" s="2">
        <f>J64*L64</f>
        <v>100800</v>
      </c>
    </row>
    <row r="65" spans="1:13" ht="15.75" thickBot="1" x14ac:dyDescent="0.3">
      <c r="B65" s="147"/>
      <c r="C65" s="147" t="s">
        <v>295</v>
      </c>
      <c r="D65" s="137">
        <f>D62+D63</f>
        <v>349860</v>
      </c>
      <c r="E65" s="137">
        <f>E64</f>
        <v>349860</v>
      </c>
      <c r="F65" s="134"/>
      <c r="I65" s="2" t="s">
        <v>321</v>
      </c>
      <c r="J65" s="2">
        <v>25400</v>
      </c>
      <c r="K65" s="2"/>
      <c r="L65" s="2">
        <v>1</v>
      </c>
      <c r="M65" s="2">
        <f>J65</f>
        <v>25400</v>
      </c>
    </row>
    <row r="66" spans="1:13" ht="15.75" thickBot="1" x14ac:dyDescent="0.3">
      <c r="B66" s="136" t="s">
        <v>322</v>
      </c>
      <c r="C66" s="134"/>
      <c r="D66" s="134"/>
      <c r="E66" s="134"/>
      <c r="F66" s="134"/>
      <c r="I66" s="2" t="s">
        <v>323</v>
      </c>
      <c r="J66" s="2">
        <v>185900</v>
      </c>
      <c r="K66" s="2">
        <f>J66*5%</f>
        <v>9295</v>
      </c>
      <c r="L66" s="2">
        <v>1</v>
      </c>
      <c r="M66" s="2">
        <f>J66</f>
        <v>185900</v>
      </c>
    </row>
    <row r="67" spans="1:13" ht="15.75" thickBot="1" x14ac:dyDescent="0.3">
      <c r="F67" s="134"/>
      <c r="I67" s="2"/>
      <c r="J67" s="2"/>
      <c r="K67" s="2">
        <f>SUM(K62:K66)</f>
        <v>74731</v>
      </c>
      <c r="L67" s="2"/>
      <c r="M67" s="7">
        <f>SUM(M62:M66)</f>
        <v>606100</v>
      </c>
    </row>
    <row r="68" spans="1:13" ht="15.75" thickBot="1" x14ac:dyDescent="0.3">
      <c r="B68" s="148"/>
      <c r="C68" s="149"/>
      <c r="D68" s="149"/>
      <c r="E68" s="149"/>
      <c r="F68" s="149"/>
      <c r="I68" s="2"/>
      <c r="J68" s="2"/>
      <c r="K68" s="2"/>
      <c r="L68" s="101">
        <f>K67+M67</f>
        <v>680831</v>
      </c>
      <c r="M68" s="7"/>
    </row>
    <row r="69" spans="1:13" ht="15.75" thickBot="1" x14ac:dyDescent="0.3">
      <c r="B69" s="139" t="s">
        <v>559</v>
      </c>
      <c r="C69" s="140" t="s">
        <v>288</v>
      </c>
      <c r="D69" s="140" t="s">
        <v>560</v>
      </c>
      <c r="E69" s="140" t="s">
        <v>561</v>
      </c>
      <c r="F69" s="149"/>
      <c r="I69" s="2"/>
      <c r="J69" s="2"/>
      <c r="K69" s="2"/>
      <c r="L69" s="2"/>
      <c r="M69" s="7"/>
    </row>
    <row r="70" spans="1:13" ht="15.75" thickBot="1" x14ac:dyDescent="0.3">
      <c r="A70" s="141">
        <v>45482</v>
      </c>
      <c r="B70" s="142">
        <v>710104</v>
      </c>
      <c r="C70" s="143" t="s">
        <v>324</v>
      </c>
      <c r="D70" s="144">
        <f>J64*2</f>
        <v>100800</v>
      </c>
      <c r="E70" s="140"/>
      <c r="F70" s="149"/>
      <c r="I70" s="2"/>
      <c r="J70" s="2"/>
      <c r="K70" s="2"/>
      <c r="L70" s="2"/>
      <c r="M70" s="7"/>
    </row>
    <row r="71" spans="1:13" ht="15.75" thickBot="1" x14ac:dyDescent="0.3">
      <c r="B71" s="142">
        <v>240402</v>
      </c>
      <c r="C71" s="143" t="s">
        <v>317</v>
      </c>
      <c r="D71" s="144">
        <f>K64*2</f>
        <v>19152</v>
      </c>
      <c r="E71" s="140"/>
      <c r="F71" s="149"/>
      <c r="I71" s="2"/>
      <c r="J71" s="2"/>
      <c r="K71" s="2"/>
      <c r="L71" s="2"/>
      <c r="M71" s="7"/>
    </row>
    <row r="72" spans="1:13" ht="15.75" thickBot="1" x14ac:dyDescent="0.3">
      <c r="B72" s="142">
        <v>221101</v>
      </c>
      <c r="C72" s="143" t="s">
        <v>319</v>
      </c>
      <c r="D72" s="140"/>
      <c r="E72" s="144">
        <f>D70+D71</f>
        <v>119952</v>
      </c>
      <c r="F72" s="149"/>
      <c r="I72" s="2"/>
      <c r="J72" s="2"/>
      <c r="K72" s="2"/>
      <c r="L72" s="2"/>
      <c r="M72" s="7"/>
    </row>
    <row r="73" spans="1:13" ht="15.75" thickBot="1" x14ac:dyDescent="0.3">
      <c r="B73" s="147"/>
      <c r="C73" s="147" t="s">
        <v>295</v>
      </c>
      <c r="D73" s="137">
        <f>D70+D71</f>
        <v>119952</v>
      </c>
      <c r="E73" s="137">
        <f>E72</f>
        <v>119952</v>
      </c>
      <c r="F73" s="149"/>
      <c r="I73" s="2"/>
      <c r="J73" s="2"/>
      <c r="K73" s="2"/>
      <c r="L73" s="2"/>
      <c r="M73" s="7"/>
    </row>
    <row r="74" spans="1:13" ht="15.75" thickBot="1" x14ac:dyDescent="0.3">
      <c r="B74" s="136" t="s">
        <v>325</v>
      </c>
      <c r="C74" s="134"/>
      <c r="D74" s="134"/>
      <c r="E74" s="134"/>
      <c r="I74" s="2"/>
      <c r="J74" s="2"/>
      <c r="K74" s="2"/>
      <c r="L74" s="101"/>
      <c r="M74" s="2"/>
    </row>
    <row r="75" spans="1:13" ht="15.75" thickBot="1" x14ac:dyDescent="0.3"/>
    <row r="76" spans="1:13" ht="15.75" thickBot="1" x14ac:dyDescent="0.3">
      <c r="B76" s="158"/>
      <c r="C76" s="159"/>
      <c r="D76" s="159"/>
      <c r="E76" s="159"/>
    </row>
    <row r="77" spans="1:13" ht="15.75" thickBot="1" x14ac:dyDescent="0.3">
      <c r="B77" s="139" t="s">
        <v>559</v>
      </c>
      <c r="C77" s="140" t="s">
        <v>288</v>
      </c>
      <c r="D77" s="140" t="s">
        <v>560</v>
      </c>
      <c r="E77" s="140" t="s">
        <v>561</v>
      </c>
      <c r="F77" s="160"/>
      <c r="I77" s="2"/>
      <c r="J77" s="2"/>
      <c r="K77" s="2"/>
      <c r="L77" s="2" t="s">
        <v>315</v>
      </c>
      <c r="M77" s="2"/>
    </row>
    <row r="78" spans="1:13" ht="15.75" thickBot="1" x14ac:dyDescent="0.3">
      <c r="A78" s="141">
        <v>45482</v>
      </c>
      <c r="B78" s="151">
        <v>710105</v>
      </c>
      <c r="C78" s="152" t="s">
        <v>326</v>
      </c>
      <c r="D78" s="153">
        <f>25400</f>
        <v>25400</v>
      </c>
      <c r="E78" s="154"/>
      <c r="F78" s="134"/>
      <c r="I78" s="2"/>
      <c r="J78" s="2"/>
      <c r="K78" s="2"/>
      <c r="L78" s="2">
        <v>1</v>
      </c>
      <c r="M78" s="2"/>
    </row>
    <row r="79" spans="1:13" ht="15.75" thickBot="1" x14ac:dyDescent="0.3">
      <c r="B79" s="142">
        <v>221101</v>
      </c>
      <c r="C79" s="143" t="s">
        <v>319</v>
      </c>
      <c r="D79" s="140"/>
      <c r="E79" s="144">
        <f>D78</f>
        <v>25400</v>
      </c>
      <c r="F79" s="134"/>
      <c r="I79" s="2" t="s">
        <v>318</v>
      </c>
      <c r="J79" s="2">
        <v>98000</v>
      </c>
      <c r="K79" s="2">
        <f>J79*19%</f>
        <v>18620</v>
      </c>
      <c r="L79" s="2">
        <v>3</v>
      </c>
      <c r="M79" s="2">
        <f>J79</f>
        <v>98000</v>
      </c>
    </row>
    <row r="80" spans="1:13" ht="15.75" thickBot="1" x14ac:dyDescent="0.3">
      <c r="B80" s="147"/>
      <c r="C80" s="147" t="s">
        <v>295</v>
      </c>
      <c r="D80" s="137">
        <f>D78</f>
        <v>25400</v>
      </c>
      <c r="E80" s="137">
        <f>E79</f>
        <v>25400</v>
      </c>
      <c r="F80" s="134"/>
      <c r="I80" s="2" t="s">
        <v>320</v>
      </c>
      <c r="J80" s="2">
        <v>50400</v>
      </c>
      <c r="K80" s="2">
        <f>J80*19%</f>
        <v>9576</v>
      </c>
      <c r="L80" s="2">
        <v>2</v>
      </c>
      <c r="M80" s="2">
        <f>J80*L80</f>
        <v>100800</v>
      </c>
    </row>
    <row r="81" spans="1:13" ht="30.75" thickBot="1" x14ac:dyDescent="0.3">
      <c r="B81" s="136" t="s">
        <v>327</v>
      </c>
      <c r="C81" s="134"/>
      <c r="D81" s="134"/>
      <c r="E81" s="134"/>
      <c r="F81" s="134"/>
      <c r="I81" s="6" t="s">
        <v>328</v>
      </c>
      <c r="J81" s="2">
        <v>46000</v>
      </c>
      <c r="K81" s="2">
        <f>(J81*5%)*2</f>
        <v>4600</v>
      </c>
      <c r="L81" s="2">
        <v>1</v>
      </c>
      <c r="M81" s="2">
        <f>J81*2</f>
        <v>92000</v>
      </c>
    </row>
    <row r="82" spans="1:13" ht="15.75" thickBot="1" x14ac:dyDescent="0.3">
      <c r="F82" s="134"/>
      <c r="I82" s="2" t="s">
        <v>323</v>
      </c>
      <c r="J82" s="2">
        <v>182000</v>
      </c>
      <c r="K82" s="2">
        <f>J82*5%</f>
        <v>9100</v>
      </c>
      <c r="L82" s="2">
        <v>1</v>
      </c>
      <c r="M82" s="2">
        <f>J82</f>
        <v>182000</v>
      </c>
    </row>
    <row r="83" spans="1:13" ht="15.75" thickBot="1" x14ac:dyDescent="0.3">
      <c r="B83" s="139" t="s">
        <v>559</v>
      </c>
      <c r="C83" s="140" t="s">
        <v>288</v>
      </c>
      <c r="D83" s="140" t="s">
        <v>560</v>
      </c>
      <c r="E83" s="140" t="s">
        <v>561</v>
      </c>
      <c r="F83" s="160"/>
      <c r="I83" s="2"/>
      <c r="J83" s="2"/>
      <c r="K83" s="2">
        <f>SUM(K78:K82)</f>
        <v>41896</v>
      </c>
      <c r="L83" s="2"/>
      <c r="M83" s="7">
        <f>SUM(M78:M82)</f>
        <v>472800</v>
      </c>
    </row>
    <row r="84" spans="1:13" ht="15.75" thickBot="1" x14ac:dyDescent="0.3">
      <c r="A84" s="141">
        <v>45482</v>
      </c>
      <c r="B84" s="151">
        <v>710106</v>
      </c>
      <c r="C84" s="152" t="s">
        <v>329</v>
      </c>
      <c r="D84" s="153">
        <f>J66</f>
        <v>185900</v>
      </c>
      <c r="E84" s="154"/>
      <c r="I84" s="2"/>
      <c r="J84" s="2"/>
      <c r="K84" s="2"/>
      <c r="L84" s="101">
        <f>K83+M83</f>
        <v>514696</v>
      </c>
      <c r="M84" s="2"/>
    </row>
    <row r="85" spans="1:13" ht="15.75" thickBot="1" x14ac:dyDescent="0.3">
      <c r="B85" s="142">
        <v>240401</v>
      </c>
      <c r="C85" s="143" t="s">
        <v>309</v>
      </c>
      <c r="D85" s="144">
        <f>K66</f>
        <v>9295</v>
      </c>
      <c r="E85" s="140"/>
    </row>
    <row r="86" spans="1:13" ht="15.75" thickBot="1" x14ac:dyDescent="0.3">
      <c r="B86" s="142">
        <v>221101</v>
      </c>
      <c r="C86" s="143" t="s">
        <v>319</v>
      </c>
      <c r="D86" s="140"/>
      <c r="E86" s="144">
        <f>D84+D85</f>
        <v>195195</v>
      </c>
    </row>
    <row r="87" spans="1:13" ht="15.75" thickBot="1" x14ac:dyDescent="0.3">
      <c r="B87" s="147"/>
      <c r="C87" s="147" t="s">
        <v>295</v>
      </c>
      <c r="D87" s="137">
        <f>D84+D85</f>
        <v>195195</v>
      </c>
      <c r="E87" s="137">
        <f>E86</f>
        <v>195195</v>
      </c>
    </row>
    <row r="88" spans="1:13" ht="15.75" thickBot="1" x14ac:dyDescent="0.3">
      <c r="B88" s="136" t="s">
        <v>330</v>
      </c>
      <c r="C88" s="134"/>
      <c r="D88" s="134"/>
      <c r="E88" s="134"/>
    </row>
    <row r="89" spans="1:13" ht="15.75" thickBot="1" x14ac:dyDescent="0.3">
      <c r="B89" s="148"/>
      <c r="C89" s="149"/>
      <c r="D89" s="149"/>
      <c r="E89" s="149"/>
    </row>
    <row r="90" spans="1:13" ht="15.75" thickBot="1" x14ac:dyDescent="0.3">
      <c r="B90" s="139" t="s">
        <v>559</v>
      </c>
      <c r="C90" s="140" t="s">
        <v>288</v>
      </c>
      <c r="D90" s="140" t="s">
        <v>560</v>
      </c>
      <c r="E90" s="140" t="s">
        <v>561</v>
      </c>
    </row>
    <row r="91" spans="1:13" ht="15.75" thickBot="1" x14ac:dyDescent="0.3">
      <c r="A91" s="141">
        <v>45482</v>
      </c>
      <c r="B91" s="142">
        <v>150798</v>
      </c>
      <c r="C91" s="140" t="s">
        <v>331</v>
      </c>
      <c r="D91" s="140"/>
      <c r="E91" s="144">
        <f>D92</f>
        <v>18068.558823529413</v>
      </c>
    </row>
    <row r="92" spans="1:13" ht="30.75" thickBot="1" x14ac:dyDescent="0.3">
      <c r="B92" s="142">
        <v>511204</v>
      </c>
      <c r="C92" s="140" t="s">
        <v>332</v>
      </c>
      <c r="D92" s="144">
        <v>18068.558823529413</v>
      </c>
      <c r="E92" s="140"/>
    </row>
    <row r="93" spans="1:13" ht="15.75" thickBot="1" x14ac:dyDescent="0.3">
      <c r="B93" s="134"/>
      <c r="C93" s="134" t="s">
        <v>295</v>
      </c>
      <c r="D93" s="137">
        <f>D92</f>
        <v>18068.558823529413</v>
      </c>
      <c r="E93" s="137">
        <f>E91</f>
        <v>18068.558823529413</v>
      </c>
    </row>
    <row r="94" spans="1:13" ht="15.75" thickBot="1" x14ac:dyDescent="0.3">
      <c r="B94" s="136" t="s">
        <v>333</v>
      </c>
      <c r="C94" s="134"/>
      <c r="D94" s="134"/>
      <c r="E94" s="134"/>
    </row>
    <row r="95" spans="1:13" ht="15.75" thickBot="1" x14ac:dyDescent="0.3">
      <c r="B95" s="148"/>
      <c r="C95" s="149"/>
      <c r="D95" s="149"/>
      <c r="E95" s="149"/>
    </row>
    <row r="96" spans="1:13" ht="15.75" thickBot="1" x14ac:dyDescent="0.3">
      <c r="B96" s="139" t="s">
        <v>559</v>
      </c>
      <c r="C96" s="140" t="s">
        <v>288</v>
      </c>
      <c r="D96" s="140" t="s">
        <v>560</v>
      </c>
      <c r="E96" s="140" t="s">
        <v>561</v>
      </c>
    </row>
    <row r="97" spans="1:5" ht="15.75" thickBot="1" x14ac:dyDescent="0.3">
      <c r="A97" s="141">
        <v>45482</v>
      </c>
      <c r="B97" s="142">
        <v>150798</v>
      </c>
      <c r="C97" s="140" t="s">
        <v>331</v>
      </c>
      <c r="D97" s="140"/>
      <c r="E97" s="144">
        <v>105000</v>
      </c>
    </row>
    <row r="98" spans="1:5" ht="30.75" thickBot="1" x14ac:dyDescent="0.3">
      <c r="B98" s="142">
        <v>511204</v>
      </c>
      <c r="C98" s="140" t="s">
        <v>334</v>
      </c>
      <c r="D98" s="144">
        <f>E97</f>
        <v>105000</v>
      </c>
      <c r="E98" s="140"/>
    </row>
    <row r="99" spans="1:5" ht="15.75" thickBot="1" x14ac:dyDescent="0.3">
      <c r="B99" s="134"/>
      <c r="C99" s="134" t="s">
        <v>295</v>
      </c>
      <c r="D99" s="137">
        <f>D98</f>
        <v>105000</v>
      </c>
      <c r="E99" s="137">
        <f>E97</f>
        <v>105000</v>
      </c>
    </row>
    <row r="100" spans="1:5" ht="15.75" thickBot="1" x14ac:dyDescent="0.3">
      <c r="B100" s="136" t="s">
        <v>335</v>
      </c>
      <c r="C100" s="134"/>
      <c r="D100" s="134"/>
      <c r="E100" s="134"/>
    </row>
    <row r="101" spans="1:5" ht="15.75" thickBot="1" x14ac:dyDescent="0.3">
      <c r="B101" s="148"/>
      <c r="C101" s="149"/>
      <c r="D101" s="149"/>
      <c r="E101" s="149"/>
    </row>
    <row r="102" spans="1:5" ht="15.75" thickBot="1" x14ac:dyDescent="0.3">
      <c r="B102" s="139" t="s">
        <v>559</v>
      </c>
      <c r="C102" s="140" t="s">
        <v>288</v>
      </c>
      <c r="D102" s="140" t="s">
        <v>560</v>
      </c>
      <c r="E102" s="140" t="s">
        <v>561</v>
      </c>
    </row>
    <row r="103" spans="1:5" ht="15.75" thickBot="1" x14ac:dyDescent="0.3">
      <c r="A103" s="141">
        <v>45482</v>
      </c>
      <c r="B103" s="142">
        <v>150798</v>
      </c>
      <c r="C103" s="140" t="s">
        <v>331</v>
      </c>
      <c r="D103" s="140"/>
      <c r="E103" s="144">
        <v>12605.042016806723</v>
      </c>
    </row>
    <row r="104" spans="1:5" ht="15.75" thickBot="1" x14ac:dyDescent="0.3">
      <c r="B104" s="142">
        <v>511204</v>
      </c>
      <c r="C104" s="140" t="s">
        <v>336</v>
      </c>
      <c r="D104" s="144">
        <f>E103</f>
        <v>12605.042016806723</v>
      </c>
      <c r="E104" s="140"/>
    </row>
    <row r="105" spans="1:5" ht="15.75" thickBot="1" x14ac:dyDescent="0.3">
      <c r="B105" s="134"/>
      <c r="C105" s="134" t="s">
        <v>295</v>
      </c>
      <c r="D105" s="137">
        <f>D104</f>
        <v>12605.042016806723</v>
      </c>
      <c r="E105" s="137">
        <f>E103</f>
        <v>12605.042016806723</v>
      </c>
    </row>
    <row r="106" spans="1:5" ht="15.75" thickBot="1" x14ac:dyDescent="0.3">
      <c r="B106" s="136" t="s">
        <v>337</v>
      </c>
      <c r="C106" s="134"/>
      <c r="D106" s="134"/>
      <c r="E106" s="134"/>
    </row>
    <row r="107" spans="1:5" ht="15.75" thickBot="1" x14ac:dyDescent="0.3">
      <c r="B107" s="148"/>
      <c r="C107" s="149"/>
      <c r="D107" s="149"/>
      <c r="E107" s="149"/>
    </row>
    <row r="108" spans="1:5" ht="15.75" thickBot="1" x14ac:dyDescent="0.3">
      <c r="B108" s="139" t="s">
        <v>559</v>
      </c>
      <c r="C108" s="140" t="s">
        <v>288</v>
      </c>
      <c r="D108" s="140" t="s">
        <v>560</v>
      </c>
      <c r="E108" s="140" t="s">
        <v>561</v>
      </c>
    </row>
    <row r="109" spans="1:5" ht="15.75" thickBot="1" x14ac:dyDescent="0.3">
      <c r="A109" s="141">
        <v>45488</v>
      </c>
      <c r="B109" s="151">
        <v>512005</v>
      </c>
      <c r="C109" s="152" t="s">
        <v>160</v>
      </c>
      <c r="D109" s="153"/>
      <c r="E109" s="161">
        <v>500000</v>
      </c>
    </row>
    <row r="110" spans="1:5" ht="15.75" thickBot="1" x14ac:dyDescent="0.3">
      <c r="B110" s="142">
        <v>221103</v>
      </c>
      <c r="C110" s="143" t="s">
        <v>338</v>
      </c>
      <c r="D110" s="144">
        <v>500000</v>
      </c>
      <c r="E110" s="140"/>
    </row>
    <row r="111" spans="1:5" ht="15.75" thickBot="1" x14ac:dyDescent="0.3">
      <c r="C111" s="147" t="s">
        <v>295</v>
      </c>
      <c r="D111" s="137">
        <f>D110</f>
        <v>500000</v>
      </c>
      <c r="E111" s="137">
        <f>E109</f>
        <v>500000</v>
      </c>
    </row>
    <row r="112" spans="1:5" ht="15.75" thickBot="1" x14ac:dyDescent="0.3">
      <c r="B112" s="136" t="s">
        <v>339</v>
      </c>
    </row>
    <row r="113" spans="1:7" ht="15.75" thickBot="1" x14ac:dyDescent="0.3">
      <c r="B113" s="148"/>
    </row>
    <row r="114" spans="1:7" ht="15.75" thickBot="1" x14ac:dyDescent="0.3">
      <c r="B114" s="139" t="s">
        <v>559</v>
      </c>
      <c r="C114" s="140" t="s">
        <v>288</v>
      </c>
      <c r="D114" s="140" t="s">
        <v>560</v>
      </c>
      <c r="E114" s="140" t="s">
        <v>561</v>
      </c>
    </row>
    <row r="115" spans="1:7" ht="30.75" thickBot="1" x14ac:dyDescent="0.3">
      <c r="A115" s="141">
        <v>45488</v>
      </c>
      <c r="B115" s="151">
        <v>710107</v>
      </c>
      <c r="C115" s="152" t="s">
        <v>340</v>
      </c>
      <c r="D115" s="153">
        <v>84000</v>
      </c>
      <c r="E115" s="154"/>
    </row>
    <row r="116" spans="1:7" ht="15.75" thickBot="1" x14ac:dyDescent="0.3">
      <c r="B116" s="142">
        <v>221105</v>
      </c>
      <c r="C116" s="143" t="s">
        <v>341</v>
      </c>
      <c r="D116" s="140"/>
      <c r="E116" s="144">
        <f>D115</f>
        <v>84000</v>
      </c>
    </row>
    <row r="117" spans="1:7" ht="15.75" thickBot="1" x14ac:dyDescent="0.3">
      <c r="B117" s="147"/>
      <c r="C117" s="147" t="s">
        <v>295</v>
      </c>
      <c r="D117" s="137">
        <f>D115</f>
        <v>84000</v>
      </c>
      <c r="E117" s="137">
        <f>E116</f>
        <v>84000</v>
      </c>
    </row>
    <row r="118" spans="1:7" ht="15.75" thickBot="1" x14ac:dyDescent="0.3">
      <c r="B118" s="136" t="s">
        <v>342</v>
      </c>
      <c r="C118" s="134"/>
      <c r="D118" s="134"/>
      <c r="E118" s="134"/>
    </row>
    <row r="119" spans="1:7" ht="15.75" thickBot="1" x14ac:dyDescent="0.3">
      <c r="B119" s="148"/>
      <c r="C119" s="149"/>
      <c r="D119" s="149"/>
      <c r="E119" s="149"/>
    </row>
    <row r="120" spans="1:7" ht="15.75" thickBot="1" x14ac:dyDescent="0.3">
      <c r="B120" s="139" t="s">
        <v>559</v>
      </c>
      <c r="C120" s="140" t="s">
        <v>288</v>
      </c>
      <c r="D120" s="140" t="s">
        <v>560</v>
      </c>
      <c r="E120" s="140" t="s">
        <v>561</v>
      </c>
    </row>
    <row r="121" spans="1:7" ht="15.75" thickBot="1" x14ac:dyDescent="0.3">
      <c r="A121" s="141">
        <v>45488</v>
      </c>
      <c r="B121" s="151">
        <v>710108</v>
      </c>
      <c r="C121" s="152" t="s">
        <v>570</v>
      </c>
      <c r="D121" s="153">
        <v>448000</v>
      </c>
      <c r="E121" s="154"/>
      <c r="G121">
        <v>14000</v>
      </c>
    </row>
    <row r="122" spans="1:7" ht="14.45" customHeight="1" thickBot="1" x14ac:dyDescent="0.3">
      <c r="B122" s="142">
        <v>221105</v>
      </c>
      <c r="C122" s="143" t="s">
        <v>567</v>
      </c>
      <c r="D122" s="140"/>
      <c r="E122" s="144">
        <f>D121</f>
        <v>448000</v>
      </c>
      <c r="G122">
        <f>G121*32</f>
        <v>448000</v>
      </c>
    </row>
    <row r="123" spans="1:7" ht="14.45" customHeight="1" thickBot="1" x14ac:dyDescent="0.3">
      <c r="B123" s="147"/>
      <c r="C123" s="147" t="s">
        <v>295</v>
      </c>
      <c r="D123" s="137">
        <f>D121</f>
        <v>448000</v>
      </c>
      <c r="E123" s="137">
        <f>E122</f>
        <v>448000</v>
      </c>
    </row>
    <row r="124" spans="1:7" ht="15.75" thickBot="1" x14ac:dyDescent="0.3">
      <c r="B124" s="136" t="s">
        <v>568</v>
      </c>
      <c r="C124" s="134"/>
      <c r="D124" s="134"/>
      <c r="E124" s="134"/>
    </row>
    <row r="125" spans="1:7" ht="15.75" thickBot="1" x14ac:dyDescent="0.3">
      <c r="B125" s="139" t="s">
        <v>559</v>
      </c>
      <c r="C125" s="140" t="s">
        <v>288</v>
      </c>
      <c r="D125" s="140" t="s">
        <v>560</v>
      </c>
      <c r="E125" s="140" t="s">
        <v>561</v>
      </c>
    </row>
    <row r="126" spans="1:7" ht="15.75" thickBot="1" x14ac:dyDescent="0.3">
      <c r="A126" s="141">
        <v>45488</v>
      </c>
      <c r="B126" s="151">
        <v>710109</v>
      </c>
      <c r="C126" s="152" t="s">
        <v>569</v>
      </c>
      <c r="D126" s="153">
        <v>150000</v>
      </c>
      <c r="E126" s="154"/>
      <c r="G126">
        <v>10000</v>
      </c>
    </row>
    <row r="127" spans="1:7" ht="30.75" thickBot="1" x14ac:dyDescent="0.3">
      <c r="B127" s="142">
        <v>221105</v>
      </c>
      <c r="C127" s="143" t="s">
        <v>572</v>
      </c>
      <c r="D127" s="140"/>
      <c r="E127" s="144">
        <f>D126</f>
        <v>150000</v>
      </c>
      <c r="G127">
        <f>G126*15</f>
        <v>150000</v>
      </c>
    </row>
    <row r="128" spans="1:7" ht="18.600000000000001" customHeight="1" thickBot="1" x14ac:dyDescent="0.3">
      <c r="B128" s="147"/>
      <c r="C128" s="147" t="s">
        <v>295</v>
      </c>
      <c r="D128" s="137">
        <f>D126</f>
        <v>150000</v>
      </c>
      <c r="E128" s="137">
        <f>E127</f>
        <v>150000</v>
      </c>
    </row>
    <row r="129" spans="1:7" ht="15.75" thickBot="1" x14ac:dyDescent="0.3">
      <c r="B129" s="136" t="s">
        <v>571</v>
      </c>
      <c r="C129" s="134"/>
      <c r="D129" s="134"/>
      <c r="E129" s="134"/>
    </row>
    <row r="130" spans="1:7" x14ac:dyDescent="0.25">
      <c r="B130" s="148"/>
      <c r="C130" s="149"/>
      <c r="D130" s="237"/>
      <c r="E130" s="237"/>
    </row>
    <row r="131" spans="1:7" ht="30.75" thickBot="1" x14ac:dyDescent="0.3">
      <c r="A131" s="141">
        <v>45493</v>
      </c>
      <c r="B131" s="151">
        <v>610719</v>
      </c>
      <c r="C131" s="151" t="s">
        <v>343</v>
      </c>
      <c r="D131" s="153">
        <f>'COSTOS ABC PANADERÍA '!E260</f>
        <v>5040000</v>
      </c>
      <c r="E131" s="153"/>
    </row>
    <row r="132" spans="1:7" ht="15.75" thickBot="1" x14ac:dyDescent="0.3">
      <c r="A132" s="141"/>
      <c r="B132" s="151">
        <v>413195</v>
      </c>
      <c r="C132" s="151" t="s">
        <v>186</v>
      </c>
      <c r="D132" s="153"/>
      <c r="E132" s="153">
        <f>+D131</f>
        <v>5040000</v>
      </c>
    </row>
    <row r="133" spans="1:7" ht="19.899999999999999" customHeight="1" x14ac:dyDescent="0.25">
      <c r="A133" s="162"/>
      <c r="B133" s="516" t="s">
        <v>344</v>
      </c>
      <c r="C133" s="517"/>
      <c r="D133" s="517"/>
      <c r="E133" s="162"/>
    </row>
    <row r="134" spans="1:7" ht="15.75" thickBot="1" x14ac:dyDescent="0.3">
      <c r="A134" s="162"/>
      <c r="B134" s="162"/>
      <c r="C134" s="162"/>
      <c r="D134" s="162"/>
      <c r="E134" s="162"/>
    </row>
    <row r="135" spans="1:7" ht="15.75" thickBot="1" x14ac:dyDescent="0.3">
      <c r="A135" s="119"/>
      <c r="B135" s="139" t="s">
        <v>559</v>
      </c>
      <c r="C135" s="140" t="s">
        <v>288</v>
      </c>
      <c r="D135" s="140" t="s">
        <v>560</v>
      </c>
      <c r="E135" s="140" t="s">
        <v>561</v>
      </c>
    </row>
    <row r="136" spans="1:7" ht="30.75" thickBot="1" x14ac:dyDescent="0.3">
      <c r="A136" s="141">
        <v>45494</v>
      </c>
      <c r="B136" s="151">
        <v>610719</v>
      </c>
      <c r="C136" s="151" t="s">
        <v>343</v>
      </c>
      <c r="D136" s="153">
        <f>'COSTOS ABC PANADERÍA '!G260</f>
        <v>2240000</v>
      </c>
      <c r="E136" s="153"/>
    </row>
    <row r="137" spans="1:7" ht="15.75" thickBot="1" x14ac:dyDescent="0.3">
      <c r="A137" s="141"/>
      <c r="B137" s="151">
        <v>413196</v>
      </c>
      <c r="C137" s="151" t="s">
        <v>76</v>
      </c>
      <c r="D137" s="153"/>
      <c r="E137" s="153">
        <f>+D136</f>
        <v>2240000</v>
      </c>
    </row>
    <row r="138" spans="1:7" x14ac:dyDescent="0.25">
      <c r="A138" s="162"/>
      <c r="B138" s="516" t="s">
        <v>345</v>
      </c>
      <c r="C138" s="517"/>
      <c r="D138" s="517"/>
      <c r="E138" s="162"/>
    </row>
    <row r="139" spans="1:7" ht="15.6" customHeight="1" thickBot="1" x14ac:dyDescent="0.3">
      <c r="B139" s="148"/>
      <c r="C139" s="149"/>
      <c r="D139" s="149"/>
      <c r="E139" s="149"/>
    </row>
    <row r="140" spans="1:7" ht="15.6" customHeight="1" thickBot="1" x14ac:dyDescent="0.3">
      <c r="A140" s="119"/>
      <c r="B140" s="139" t="s">
        <v>559</v>
      </c>
      <c r="C140" s="140" t="s">
        <v>288</v>
      </c>
      <c r="D140" s="140" t="s">
        <v>560</v>
      </c>
      <c r="E140" s="140" t="s">
        <v>561</v>
      </c>
    </row>
    <row r="141" spans="1:7" ht="15.6" customHeight="1" thickBot="1" x14ac:dyDescent="0.3">
      <c r="A141" s="141">
        <v>45495</v>
      </c>
      <c r="B141" s="151">
        <v>610719</v>
      </c>
      <c r="C141" s="151" t="s">
        <v>343</v>
      </c>
      <c r="D141" s="153">
        <f>'COSTOS ABC PANADERÍA '!I260</f>
        <v>1190000</v>
      </c>
      <c r="E141" s="153"/>
    </row>
    <row r="142" spans="1:7" ht="15.6" customHeight="1" thickBot="1" x14ac:dyDescent="0.3">
      <c r="A142" s="141"/>
      <c r="B142" s="151">
        <v>413197</v>
      </c>
      <c r="C142" s="151" t="s">
        <v>80</v>
      </c>
      <c r="D142" s="153"/>
      <c r="E142" s="153">
        <f>+D141</f>
        <v>1190000</v>
      </c>
      <c r="G142" s="211"/>
    </row>
    <row r="143" spans="1:7" ht="15.6" customHeight="1" x14ac:dyDescent="0.25">
      <c r="A143" s="162"/>
      <c r="B143" s="516" t="s">
        <v>346</v>
      </c>
      <c r="C143" s="517"/>
      <c r="D143" s="517"/>
      <c r="E143" s="162"/>
      <c r="G143" s="11">
        <v>1300000</v>
      </c>
    </row>
    <row r="144" spans="1:7" ht="15.6" customHeight="1" x14ac:dyDescent="0.25">
      <c r="B144" s="148"/>
      <c r="C144" s="149"/>
      <c r="D144" s="149"/>
      <c r="E144" s="149"/>
      <c r="G144" s="11">
        <v>304000</v>
      </c>
    </row>
    <row r="145" spans="1:7" ht="15.6" customHeight="1" thickBot="1" x14ac:dyDescent="0.3">
      <c r="B145" s="148"/>
      <c r="C145" s="149"/>
      <c r="D145" s="149"/>
      <c r="E145" s="149"/>
      <c r="G145" s="12">
        <f>G143+G144</f>
        <v>1604000</v>
      </c>
    </row>
    <row r="146" spans="1:7" ht="15.6" customHeight="1" thickBot="1" x14ac:dyDescent="0.3">
      <c r="A146" s="119"/>
      <c r="B146" s="139" t="s">
        <v>559</v>
      </c>
      <c r="C146" s="140" t="s">
        <v>288</v>
      </c>
      <c r="D146" s="140" t="s">
        <v>560</v>
      </c>
      <c r="E146" s="140" t="s">
        <v>561</v>
      </c>
      <c r="G146" s="12">
        <f>G145*8.33%</f>
        <v>133613.20000000001</v>
      </c>
    </row>
    <row r="147" spans="1:7" ht="15.6" customHeight="1" thickBot="1" x14ac:dyDescent="0.3">
      <c r="A147" s="141">
        <v>45496</v>
      </c>
      <c r="B147" s="151">
        <v>610719</v>
      </c>
      <c r="C147" s="151" t="s">
        <v>343</v>
      </c>
      <c r="D147" s="153">
        <f>'COSTOS ABC PANADERÍA '!K260</f>
        <v>1032000</v>
      </c>
      <c r="E147" s="153"/>
    </row>
    <row r="148" spans="1:7" ht="15.6" customHeight="1" thickBot="1" x14ac:dyDescent="0.3">
      <c r="A148" s="141"/>
      <c r="B148" s="151">
        <v>413198</v>
      </c>
      <c r="C148" s="151" t="s">
        <v>53</v>
      </c>
      <c r="D148" s="153"/>
      <c r="E148" s="153">
        <f>+D147</f>
        <v>1032000</v>
      </c>
    </row>
    <row r="149" spans="1:7" ht="15.6" customHeight="1" x14ac:dyDescent="0.25">
      <c r="A149" s="162"/>
      <c r="B149" s="516" t="s">
        <v>347</v>
      </c>
      <c r="C149" s="517"/>
      <c r="D149" s="162"/>
      <c r="E149" s="162"/>
    </row>
    <row r="150" spans="1:7" ht="15.6" customHeight="1" thickBot="1" x14ac:dyDescent="0.3">
      <c r="A150" s="162"/>
      <c r="B150" s="203"/>
      <c r="C150" s="203"/>
      <c r="D150" s="162"/>
      <c r="E150" s="162"/>
    </row>
    <row r="151" spans="1:7" ht="15.6" customHeight="1" thickBot="1" x14ac:dyDescent="0.3">
      <c r="A151" s="141">
        <v>45504</v>
      </c>
      <c r="B151" s="139" t="s">
        <v>559</v>
      </c>
      <c r="C151" s="140" t="s">
        <v>288</v>
      </c>
      <c r="D151" s="140" t="s">
        <v>560</v>
      </c>
      <c r="E151" s="140" t="s">
        <v>561</v>
      </c>
    </row>
    <row r="152" spans="1:7" ht="15.6" customHeight="1" thickBot="1" x14ac:dyDescent="0.3">
      <c r="A152" s="162"/>
      <c r="B152" s="151">
        <v>236505</v>
      </c>
      <c r="C152" s="151" t="s">
        <v>527</v>
      </c>
      <c r="D152" s="208"/>
      <c r="E152" s="209">
        <v>1841613</v>
      </c>
      <c r="F152" s="12">
        <f>E152+E172+E192</f>
        <v>3782893</v>
      </c>
    </row>
    <row r="153" spans="1:7" ht="15.6" customHeight="1" x14ac:dyDescent="0.25">
      <c r="A153" s="162"/>
      <c r="B153" s="204">
        <v>237005</v>
      </c>
      <c r="C153" s="204" t="s">
        <v>528</v>
      </c>
      <c r="D153" s="212"/>
      <c r="E153" s="214">
        <f>1300000*8.5%</f>
        <v>110500.00000000001</v>
      </c>
    </row>
    <row r="154" spans="1:7" ht="15.6" customHeight="1" x14ac:dyDescent="0.25">
      <c r="A154" s="162"/>
      <c r="B154" s="205">
        <v>237006</v>
      </c>
      <c r="C154" s="206" t="s">
        <v>529</v>
      </c>
      <c r="D154" s="213"/>
      <c r="E154" s="214">
        <f>1300000*0.522%</f>
        <v>6786</v>
      </c>
    </row>
    <row r="155" spans="1:7" ht="15.6" customHeight="1" x14ac:dyDescent="0.25">
      <c r="A155" s="162"/>
      <c r="B155" s="205">
        <v>238030</v>
      </c>
      <c r="C155" s="206" t="s">
        <v>530</v>
      </c>
      <c r="D155" s="213"/>
      <c r="E155" s="214">
        <f>1300000*12%</f>
        <v>156000</v>
      </c>
    </row>
    <row r="156" spans="1:7" ht="15.6" customHeight="1" x14ac:dyDescent="0.25">
      <c r="A156" s="162"/>
      <c r="B156" s="205">
        <v>261010</v>
      </c>
      <c r="C156" s="206" t="s">
        <v>531</v>
      </c>
      <c r="D156" s="213"/>
      <c r="E156" s="214">
        <f>((1300000+304000)*1%)</f>
        <v>16040</v>
      </c>
    </row>
    <row r="157" spans="1:7" ht="15.6" customHeight="1" x14ac:dyDescent="0.25">
      <c r="A157" s="162"/>
      <c r="B157" s="205">
        <v>261015</v>
      </c>
      <c r="C157" s="206" t="s">
        <v>532</v>
      </c>
      <c r="D157" s="213"/>
      <c r="E157" s="214">
        <f>1300000*4.17%</f>
        <v>54210</v>
      </c>
      <c r="F157" s="163">
        <f>E168-D168</f>
        <v>-0.20000000018626451</v>
      </c>
    </row>
    <row r="158" spans="1:7" ht="15.6" customHeight="1" x14ac:dyDescent="0.25">
      <c r="A158" s="162"/>
      <c r="B158" s="205">
        <v>261020</v>
      </c>
      <c r="C158" s="206" t="s">
        <v>533</v>
      </c>
      <c r="D158" s="213"/>
      <c r="E158" s="214">
        <f>1300000*8.33%</f>
        <v>108290</v>
      </c>
    </row>
    <row r="159" spans="1:7" ht="15.6" customHeight="1" x14ac:dyDescent="0.25">
      <c r="A159" s="162"/>
      <c r="B159" s="205">
        <v>510506</v>
      </c>
      <c r="C159" s="206" t="s">
        <v>534</v>
      </c>
      <c r="D159" s="214">
        <v>1300000</v>
      </c>
      <c r="E159" s="210"/>
    </row>
    <row r="160" spans="1:7" ht="15.6" customHeight="1" x14ac:dyDescent="0.25">
      <c r="A160" s="162"/>
      <c r="B160" s="205">
        <v>510527</v>
      </c>
      <c r="C160" s="206" t="s">
        <v>484</v>
      </c>
      <c r="D160" s="214">
        <v>304000</v>
      </c>
      <c r="E160" s="210"/>
    </row>
    <row r="161" spans="1:22" ht="15.6" customHeight="1" x14ac:dyDescent="0.25">
      <c r="A161" s="162"/>
      <c r="B161" s="205">
        <v>510530</v>
      </c>
      <c r="C161" s="206" t="s">
        <v>535</v>
      </c>
      <c r="D161" s="214">
        <f>G146</f>
        <v>133613.20000000001</v>
      </c>
      <c r="E161" s="210"/>
    </row>
    <row r="162" spans="1:22" ht="15.6" customHeight="1" x14ac:dyDescent="0.25">
      <c r="A162" s="162"/>
      <c r="B162" s="205">
        <v>510533</v>
      </c>
      <c r="C162" s="206" t="s">
        <v>531</v>
      </c>
      <c r="D162" s="214">
        <f>E156</f>
        <v>16040</v>
      </c>
      <c r="E162" s="210"/>
    </row>
    <row r="163" spans="1:22" ht="15.6" customHeight="1" x14ac:dyDescent="0.25">
      <c r="A163" s="162"/>
      <c r="B163" s="205">
        <v>510536</v>
      </c>
      <c r="C163" s="206" t="s">
        <v>533</v>
      </c>
      <c r="D163" s="214">
        <f>E158</f>
        <v>108290</v>
      </c>
      <c r="E163" s="210"/>
    </row>
    <row r="164" spans="1:22" ht="15.6" customHeight="1" x14ac:dyDescent="0.25">
      <c r="A164" s="162"/>
      <c r="B164" s="205">
        <v>510539</v>
      </c>
      <c r="C164" s="206" t="s">
        <v>532</v>
      </c>
      <c r="D164" s="214">
        <f>E157</f>
        <v>54210</v>
      </c>
      <c r="E164" s="210"/>
    </row>
    <row r="165" spans="1:22" ht="15.6" customHeight="1" x14ac:dyDescent="0.25">
      <c r="A165" s="162"/>
      <c r="B165" s="205">
        <v>510568</v>
      </c>
      <c r="C165" s="206" t="s">
        <v>529</v>
      </c>
      <c r="D165" s="214">
        <f>E154</f>
        <v>6786</v>
      </c>
      <c r="E165" s="210"/>
    </row>
    <row r="166" spans="1:22" ht="15.6" customHeight="1" x14ac:dyDescent="0.25">
      <c r="A166" s="162"/>
      <c r="B166" s="205">
        <v>510569</v>
      </c>
      <c r="C166" s="206" t="s">
        <v>536</v>
      </c>
      <c r="D166" s="214">
        <f>1300000*12.5%</f>
        <v>162500</v>
      </c>
      <c r="E166" s="210"/>
    </row>
    <row r="167" spans="1:22" ht="15.6" customHeight="1" x14ac:dyDescent="0.25">
      <c r="A167" s="162"/>
      <c r="B167" s="205">
        <v>510570</v>
      </c>
      <c r="C167" s="206" t="s">
        <v>537</v>
      </c>
      <c r="D167" s="214">
        <f>1300000*16%</f>
        <v>208000</v>
      </c>
      <c r="E167" s="210"/>
    </row>
    <row r="168" spans="1:22" ht="15.6" customHeight="1" thickBot="1" x14ac:dyDescent="0.3">
      <c r="A168" s="162"/>
      <c r="B168" s="203"/>
      <c r="C168" s="203" t="s">
        <v>538</v>
      </c>
      <c r="D168" s="207">
        <f>SUM(D152:D167)</f>
        <v>2293439.2000000002</v>
      </c>
      <c r="E168" s="207">
        <f>SUM(E152:E167)</f>
        <v>2293439</v>
      </c>
    </row>
    <row r="169" spans="1:22" ht="15.6" customHeight="1" x14ac:dyDescent="0.25">
      <c r="A169" s="162"/>
      <c r="B169" s="216" t="s">
        <v>539</v>
      </c>
      <c r="C169" s="217"/>
      <c r="D169" s="215"/>
      <c r="E169" s="162"/>
    </row>
    <row r="170" spans="1:22" ht="15.6" customHeight="1" thickBot="1" x14ac:dyDescent="0.3">
      <c r="A170" s="162"/>
      <c r="B170" s="218"/>
      <c r="C170" s="218"/>
      <c r="D170" s="215"/>
      <c r="E170" s="162"/>
    </row>
    <row r="171" spans="1:22" ht="15.75" thickBot="1" x14ac:dyDescent="0.3">
      <c r="A171" s="141">
        <v>45504</v>
      </c>
      <c r="B171" s="139" t="s">
        <v>559</v>
      </c>
      <c r="C171" s="140" t="s">
        <v>288</v>
      </c>
      <c r="D171" s="140" t="s">
        <v>560</v>
      </c>
      <c r="E171" s="140" t="s">
        <v>561</v>
      </c>
    </row>
    <row r="172" spans="1:22" x14ac:dyDescent="0.25">
      <c r="A172" s="162"/>
      <c r="B172" s="206" t="s">
        <v>541</v>
      </c>
      <c r="C172" s="206" t="s">
        <v>527</v>
      </c>
      <c r="D172" s="214"/>
      <c r="E172" s="214">
        <v>970640</v>
      </c>
    </row>
    <row r="173" spans="1:22" x14ac:dyDescent="0.25">
      <c r="A173" s="162"/>
      <c r="B173" s="206" t="s">
        <v>542</v>
      </c>
      <c r="C173" s="206" t="s">
        <v>528</v>
      </c>
      <c r="D173" s="214"/>
      <c r="E173" s="214">
        <f>1300000*8.5%</f>
        <v>110500.00000000001</v>
      </c>
    </row>
    <row r="174" spans="1:22" s="145" customFormat="1" x14ac:dyDescent="0.25">
      <c r="A174" s="162"/>
      <c r="B174" s="205" t="s">
        <v>543</v>
      </c>
      <c r="C174" s="206" t="s">
        <v>529</v>
      </c>
      <c r="D174" s="210"/>
      <c r="E174" s="214">
        <f>1300000*0.522%</f>
        <v>6786</v>
      </c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1:22" x14ac:dyDescent="0.25">
      <c r="A175" s="162"/>
      <c r="B175" s="205" t="s">
        <v>544</v>
      </c>
      <c r="C175" s="206" t="s">
        <v>530</v>
      </c>
      <c r="D175" s="210"/>
      <c r="E175" s="214">
        <f>1300000*12%</f>
        <v>156000</v>
      </c>
    </row>
    <row r="176" spans="1:22" x14ac:dyDescent="0.25">
      <c r="A176" s="162"/>
      <c r="B176" s="205" t="s">
        <v>545</v>
      </c>
      <c r="C176" s="206" t="s">
        <v>531</v>
      </c>
      <c r="D176" s="210"/>
      <c r="E176" s="214">
        <f>((800000)*1%)</f>
        <v>8000</v>
      </c>
      <c r="G176" s="163"/>
    </row>
    <row r="177" spans="1:5" x14ac:dyDescent="0.25">
      <c r="A177" s="162"/>
      <c r="B177" s="205" t="s">
        <v>546</v>
      </c>
      <c r="C177" s="206" t="s">
        <v>532</v>
      </c>
      <c r="D177" s="210"/>
      <c r="E177" s="214">
        <f>800000*4.17%</f>
        <v>33360</v>
      </c>
    </row>
    <row r="178" spans="1:5" x14ac:dyDescent="0.25">
      <c r="A178" s="162"/>
      <c r="B178" s="205" t="s">
        <v>547</v>
      </c>
      <c r="C178" s="206" t="s">
        <v>533</v>
      </c>
      <c r="D178" s="210"/>
      <c r="E178" s="214">
        <f>800000*8.33%</f>
        <v>66640</v>
      </c>
    </row>
    <row r="179" spans="1:5" x14ac:dyDescent="0.25">
      <c r="A179" s="162"/>
      <c r="B179" s="205">
        <v>720101</v>
      </c>
      <c r="C179" s="206" t="s">
        <v>534</v>
      </c>
      <c r="D179" s="214">
        <f>'COSTOS DE PRODUCCIÓN'!E20</f>
        <v>638000</v>
      </c>
      <c r="E179" s="210"/>
    </row>
    <row r="180" spans="1:5" x14ac:dyDescent="0.25">
      <c r="A180" s="162"/>
      <c r="B180" s="205">
        <v>720102</v>
      </c>
      <c r="C180" s="206" t="s">
        <v>578</v>
      </c>
      <c r="D180" s="214">
        <f>'COSTOS DE PRODUCCIÓN'!F19</f>
        <v>162000</v>
      </c>
      <c r="E180" s="210"/>
    </row>
    <row r="181" spans="1:5" x14ac:dyDescent="0.25">
      <c r="A181" s="162"/>
      <c r="B181" s="205">
        <v>720103</v>
      </c>
      <c r="C181" s="206" t="s">
        <v>535</v>
      </c>
      <c r="D181" s="214">
        <f>800000*8.33%</f>
        <v>66640</v>
      </c>
      <c r="E181" s="210"/>
    </row>
    <row r="182" spans="1:5" x14ac:dyDescent="0.25">
      <c r="A182" s="162"/>
      <c r="B182" s="205">
        <v>720104</v>
      </c>
      <c r="C182" s="206" t="s">
        <v>531</v>
      </c>
      <c r="D182" s="214">
        <f>E176</f>
        <v>8000</v>
      </c>
      <c r="E182" s="210"/>
    </row>
    <row r="183" spans="1:5" x14ac:dyDescent="0.25">
      <c r="A183" s="162"/>
      <c r="B183" s="205">
        <v>720105</v>
      </c>
      <c r="C183" s="206" t="s">
        <v>533</v>
      </c>
      <c r="D183" s="214">
        <f>E178</f>
        <v>66640</v>
      </c>
      <c r="E183" s="210"/>
    </row>
    <row r="184" spans="1:5" x14ac:dyDescent="0.25">
      <c r="A184" s="162"/>
      <c r="B184" s="205">
        <v>720106</v>
      </c>
      <c r="C184" s="206" t="s">
        <v>532</v>
      </c>
      <c r="D184" s="214">
        <f>E177</f>
        <v>33360</v>
      </c>
      <c r="E184" s="210"/>
    </row>
    <row r="185" spans="1:5" x14ac:dyDescent="0.25">
      <c r="A185" s="162"/>
      <c r="B185" s="205">
        <v>720107</v>
      </c>
      <c r="C185" s="206" t="s">
        <v>529</v>
      </c>
      <c r="D185" s="214">
        <f>E174</f>
        <v>6786</v>
      </c>
      <c r="E185" s="210"/>
    </row>
    <row r="186" spans="1:5" x14ac:dyDescent="0.25">
      <c r="A186" s="162"/>
      <c r="B186" s="205">
        <v>720108</v>
      </c>
      <c r="C186" s="206" t="s">
        <v>536</v>
      </c>
      <c r="D186" s="214">
        <f>1300000*12.5%</f>
        <v>162500</v>
      </c>
      <c r="E186" s="210"/>
    </row>
    <row r="187" spans="1:5" x14ac:dyDescent="0.25">
      <c r="A187" s="162"/>
      <c r="B187" s="205">
        <v>720109</v>
      </c>
      <c r="C187" s="206" t="s">
        <v>537</v>
      </c>
      <c r="D187" s="214">
        <f>1300000*16%</f>
        <v>208000</v>
      </c>
      <c r="E187" s="210"/>
    </row>
    <row r="188" spans="1:5" x14ac:dyDescent="0.25">
      <c r="A188" s="162"/>
      <c r="B188" s="205"/>
      <c r="C188" s="205" t="s">
        <v>538</v>
      </c>
      <c r="D188" s="234">
        <f>SUM(D179:D187)</f>
        <v>1351926</v>
      </c>
      <c r="E188" s="234">
        <f>SUM(E172:E187)</f>
        <v>1351926</v>
      </c>
    </row>
    <row r="189" spans="1:5" x14ac:dyDescent="0.25">
      <c r="A189" s="162"/>
      <c r="B189" s="233" t="s">
        <v>540</v>
      </c>
      <c r="C189" s="218"/>
      <c r="D189" s="215"/>
      <c r="E189" s="162"/>
    </row>
    <row r="190" spans="1:5" x14ac:dyDescent="0.25">
      <c r="A190" s="162"/>
      <c r="B190" s="218"/>
      <c r="C190" s="218"/>
      <c r="D190" s="215"/>
      <c r="E190" s="162"/>
    </row>
    <row r="191" spans="1:5" x14ac:dyDescent="0.25">
      <c r="A191" s="141">
        <v>45504</v>
      </c>
      <c r="B191" s="150" t="s">
        <v>559</v>
      </c>
      <c r="C191" s="150" t="s">
        <v>288</v>
      </c>
      <c r="D191" s="150" t="s">
        <v>560</v>
      </c>
      <c r="E191" s="150" t="s">
        <v>561</v>
      </c>
    </row>
    <row r="192" spans="1:5" ht="15.75" thickBot="1" x14ac:dyDescent="0.3">
      <c r="A192" s="162"/>
      <c r="B192" s="151" t="s">
        <v>541</v>
      </c>
      <c r="C192" s="151" t="s">
        <v>527</v>
      </c>
      <c r="D192" s="208"/>
      <c r="E192" s="209">
        <v>970640</v>
      </c>
    </row>
    <row r="193" spans="1:5" x14ac:dyDescent="0.25">
      <c r="A193" s="162"/>
      <c r="B193" s="204" t="s">
        <v>542</v>
      </c>
      <c r="C193" s="204" t="s">
        <v>528</v>
      </c>
      <c r="D193" s="212"/>
      <c r="E193" s="214">
        <f>1300000*8.5%</f>
        <v>110500.00000000001</v>
      </c>
    </row>
    <row r="194" spans="1:5" x14ac:dyDescent="0.25">
      <c r="A194" s="162"/>
      <c r="B194" s="205" t="s">
        <v>543</v>
      </c>
      <c r="C194" s="206" t="s">
        <v>529</v>
      </c>
      <c r="D194" s="213"/>
      <c r="E194" s="214">
        <f>1300000*0.522%</f>
        <v>6786</v>
      </c>
    </row>
    <row r="195" spans="1:5" x14ac:dyDescent="0.25">
      <c r="A195" s="162"/>
      <c r="B195" s="205" t="s">
        <v>544</v>
      </c>
      <c r="C195" s="206" t="s">
        <v>530</v>
      </c>
      <c r="D195" s="213"/>
      <c r="E195" s="214">
        <f>1300000*12%</f>
        <v>156000</v>
      </c>
    </row>
    <row r="196" spans="1:5" x14ac:dyDescent="0.25">
      <c r="A196" s="162"/>
      <c r="B196" s="205" t="s">
        <v>545</v>
      </c>
      <c r="C196" s="206" t="s">
        <v>531</v>
      </c>
      <c r="D196" s="213"/>
      <c r="E196" s="214">
        <f>((800000)*1%)</f>
        <v>8000</v>
      </c>
    </row>
    <row r="197" spans="1:5" x14ac:dyDescent="0.25">
      <c r="A197" s="162"/>
      <c r="B197" s="205" t="s">
        <v>546</v>
      </c>
      <c r="C197" s="206" t="s">
        <v>532</v>
      </c>
      <c r="D197" s="213"/>
      <c r="E197" s="214">
        <f>800000*4.17%</f>
        <v>33360</v>
      </c>
    </row>
    <row r="198" spans="1:5" x14ac:dyDescent="0.25">
      <c r="A198" s="162"/>
      <c r="B198" s="205" t="s">
        <v>547</v>
      </c>
      <c r="C198" s="206" t="s">
        <v>533</v>
      </c>
      <c r="D198" s="213"/>
      <c r="E198" s="214">
        <f>800000*8.33%</f>
        <v>66640</v>
      </c>
    </row>
    <row r="199" spans="1:5" x14ac:dyDescent="0.25">
      <c r="A199" s="162"/>
      <c r="B199" s="205">
        <v>720101</v>
      </c>
      <c r="C199" s="206" t="s">
        <v>534</v>
      </c>
      <c r="D199" s="214">
        <f>'COSTOS DE PRODUCCIÓN'!E19</f>
        <v>638000</v>
      </c>
      <c r="E199" s="210"/>
    </row>
    <row r="200" spans="1:5" x14ac:dyDescent="0.25">
      <c r="A200" s="162"/>
      <c r="B200" s="205">
        <v>720102</v>
      </c>
      <c r="C200" s="206" t="s">
        <v>579</v>
      </c>
      <c r="D200" s="214">
        <f>'COSTOS DE PRODUCCIÓN'!F20</f>
        <v>162000</v>
      </c>
      <c r="E200" s="210"/>
    </row>
    <row r="201" spans="1:5" x14ac:dyDescent="0.25">
      <c r="A201" s="162"/>
      <c r="B201" s="205">
        <v>720103</v>
      </c>
      <c r="C201" s="206" t="s">
        <v>535</v>
      </c>
      <c r="D201" s="214">
        <f>800000*8.33%</f>
        <v>66640</v>
      </c>
      <c r="E201" s="210"/>
    </row>
    <row r="202" spans="1:5" x14ac:dyDescent="0.25">
      <c r="A202" s="162"/>
      <c r="B202" s="205">
        <v>720104</v>
      </c>
      <c r="C202" s="206" t="s">
        <v>531</v>
      </c>
      <c r="D202" s="214">
        <f>E196</f>
        <v>8000</v>
      </c>
      <c r="E202" s="210"/>
    </row>
    <row r="203" spans="1:5" x14ac:dyDescent="0.25">
      <c r="A203" s="162"/>
      <c r="B203" s="205">
        <v>720105</v>
      </c>
      <c r="C203" s="206" t="s">
        <v>533</v>
      </c>
      <c r="D203" s="214">
        <f>E198</f>
        <v>66640</v>
      </c>
      <c r="E203" s="210"/>
    </row>
    <row r="204" spans="1:5" x14ac:dyDescent="0.25">
      <c r="A204" s="162"/>
      <c r="B204" s="205">
        <v>720106</v>
      </c>
      <c r="C204" s="206" t="s">
        <v>532</v>
      </c>
      <c r="D204" s="214">
        <f>E197</f>
        <v>33360</v>
      </c>
      <c r="E204" s="210"/>
    </row>
    <row r="205" spans="1:5" x14ac:dyDescent="0.25">
      <c r="A205" s="162"/>
      <c r="B205" s="205">
        <v>720107</v>
      </c>
      <c r="C205" s="206" t="s">
        <v>529</v>
      </c>
      <c r="D205" s="214">
        <f>E194</f>
        <v>6786</v>
      </c>
      <c r="E205" s="210"/>
    </row>
    <row r="206" spans="1:5" x14ac:dyDescent="0.25">
      <c r="A206" s="162"/>
      <c r="B206" s="205">
        <v>720108</v>
      </c>
      <c r="C206" s="206" t="s">
        <v>536</v>
      </c>
      <c r="D206" s="214">
        <f>1300000*12.5%</f>
        <v>162500</v>
      </c>
      <c r="E206" s="210"/>
    </row>
    <row r="207" spans="1:5" x14ac:dyDescent="0.25">
      <c r="A207" s="162"/>
      <c r="B207" s="205">
        <v>720109</v>
      </c>
      <c r="C207" s="206" t="s">
        <v>537</v>
      </c>
      <c r="D207" s="214">
        <f>1300000*16%</f>
        <v>208000</v>
      </c>
      <c r="E207" s="210"/>
    </row>
    <row r="208" spans="1:5" ht="15.75" thickBot="1" x14ac:dyDescent="0.3">
      <c r="A208" s="162"/>
      <c r="B208" s="203"/>
      <c r="C208" s="203" t="s">
        <v>538</v>
      </c>
      <c r="D208" s="207">
        <f>SUM(D192:D207)</f>
        <v>1351926</v>
      </c>
      <c r="E208" s="207">
        <f>SUM(E192:E207)</f>
        <v>1351926</v>
      </c>
    </row>
    <row r="209" spans="1:5" x14ac:dyDescent="0.25">
      <c r="A209" s="162"/>
      <c r="B209" s="216" t="s">
        <v>548</v>
      </c>
      <c r="C209" s="217"/>
      <c r="D209" s="215"/>
      <c r="E209" s="162"/>
    </row>
    <row r="210" spans="1:5" ht="7.9" customHeight="1" x14ac:dyDescent="0.25">
      <c r="A210" s="162"/>
      <c r="B210" s="218"/>
      <c r="C210" s="218"/>
      <c r="D210" s="215"/>
      <c r="E210" s="162"/>
    </row>
    <row r="211" spans="1:5" ht="18.600000000000001" customHeight="1" x14ac:dyDescent="0.25">
      <c r="A211" s="141">
        <v>45504</v>
      </c>
      <c r="B211" s="150" t="s">
        <v>559</v>
      </c>
      <c r="C211" s="150" t="s">
        <v>288</v>
      </c>
      <c r="D211" s="150" t="s">
        <v>560</v>
      </c>
      <c r="E211" s="150" t="s">
        <v>561</v>
      </c>
    </row>
    <row r="212" spans="1:5" ht="18" customHeight="1" x14ac:dyDescent="0.25">
      <c r="A212" s="162"/>
      <c r="B212" s="241" t="s">
        <v>541</v>
      </c>
      <c r="C212" s="241" t="s">
        <v>527</v>
      </c>
      <c r="D212" s="242"/>
      <c r="E212" s="242">
        <v>500000</v>
      </c>
    </row>
    <row r="213" spans="1:5" x14ac:dyDescent="0.25">
      <c r="A213" s="162"/>
      <c r="B213" s="206">
        <v>520501</v>
      </c>
      <c r="C213" s="206" t="s">
        <v>580</v>
      </c>
      <c r="D213" s="214">
        <v>500000</v>
      </c>
      <c r="E213" s="214"/>
    </row>
    <row r="214" spans="1:5" ht="15.75" thickBot="1" x14ac:dyDescent="0.3">
      <c r="A214" s="162"/>
      <c r="B214" s="203"/>
      <c r="C214" s="203" t="s">
        <v>538</v>
      </c>
      <c r="D214" s="207"/>
      <c r="E214" s="207"/>
    </row>
    <row r="215" spans="1:5" x14ac:dyDescent="0.25">
      <c r="A215" s="162"/>
      <c r="B215" s="216" t="s">
        <v>581</v>
      </c>
      <c r="C215" s="217"/>
      <c r="D215" s="215"/>
      <c r="E215" s="162"/>
    </row>
    <row r="216" spans="1:5" x14ac:dyDescent="0.25">
      <c r="A216" s="162"/>
      <c r="B216" s="218"/>
      <c r="C216" s="218"/>
      <c r="D216" s="215"/>
      <c r="E216" s="162"/>
    </row>
    <row r="217" spans="1:5" x14ac:dyDescent="0.25">
      <c r="A217" s="141">
        <v>45504</v>
      </c>
      <c r="B217" s="150" t="s">
        <v>559</v>
      </c>
      <c r="C217" s="150" t="s">
        <v>288</v>
      </c>
      <c r="D217" s="150" t="s">
        <v>560</v>
      </c>
      <c r="E217" s="150" t="s">
        <v>561</v>
      </c>
    </row>
    <row r="218" spans="1:5" x14ac:dyDescent="0.25">
      <c r="A218" s="162"/>
      <c r="B218" s="241">
        <v>110101</v>
      </c>
      <c r="C218" s="241" t="s">
        <v>657</v>
      </c>
      <c r="D218" s="242">
        <v>9502000</v>
      </c>
      <c r="E218" s="242"/>
    </row>
    <row r="219" spans="1:5" x14ac:dyDescent="0.25">
      <c r="A219" s="162"/>
      <c r="B219" s="206">
        <v>4131</v>
      </c>
      <c r="C219" s="206" t="s">
        <v>658</v>
      </c>
      <c r="D219" s="214"/>
      <c r="E219" s="214">
        <f>9502000</f>
        <v>9502000</v>
      </c>
    </row>
    <row r="220" spans="1:5" ht="15.75" thickBot="1" x14ac:dyDescent="0.3">
      <c r="A220" s="162"/>
      <c r="B220" s="203"/>
      <c r="C220" s="203" t="s">
        <v>538</v>
      </c>
      <c r="D220" s="207"/>
      <c r="E220" s="207"/>
    </row>
    <row r="221" spans="1:5" x14ac:dyDescent="0.25">
      <c r="A221" s="162"/>
      <c r="B221" s="216" t="s">
        <v>659</v>
      </c>
      <c r="C221" s="217"/>
      <c r="D221" s="215"/>
      <c r="E221" s="162"/>
    </row>
    <row r="222" spans="1:5" ht="15.75" thickBot="1" x14ac:dyDescent="0.3">
      <c r="A222" s="145"/>
      <c r="B222" s="145"/>
      <c r="C222" s="145"/>
      <c r="D222" s="145"/>
      <c r="E222" s="145"/>
    </row>
    <row r="223" spans="1:5" ht="15.75" thickBot="1" x14ac:dyDescent="0.3">
      <c r="B223" s="139" t="s">
        <v>559</v>
      </c>
      <c r="C223" s="140" t="s">
        <v>288</v>
      </c>
      <c r="D223" s="140" t="s">
        <v>560</v>
      </c>
      <c r="E223" s="140" t="s">
        <v>561</v>
      </c>
    </row>
    <row r="224" spans="1:5" ht="30.75" thickBot="1" x14ac:dyDescent="0.3">
      <c r="A224" s="141">
        <v>45515</v>
      </c>
      <c r="B224" s="151">
        <v>140504</v>
      </c>
      <c r="C224" s="154" t="s">
        <v>348</v>
      </c>
      <c r="D224" s="153">
        <f>J79</f>
        <v>98000</v>
      </c>
      <c r="E224" s="154"/>
    </row>
    <row r="225" spans="1:8" ht="15.75" thickBot="1" x14ac:dyDescent="0.3">
      <c r="B225" s="142">
        <v>240401</v>
      </c>
      <c r="C225" s="140" t="s">
        <v>317</v>
      </c>
      <c r="D225" s="144">
        <f>K79</f>
        <v>18620</v>
      </c>
      <c r="E225" s="140"/>
    </row>
    <row r="226" spans="1:8" ht="15.75" thickBot="1" x14ac:dyDescent="0.3">
      <c r="B226" s="142">
        <v>221101</v>
      </c>
      <c r="C226" s="140" t="s">
        <v>319</v>
      </c>
      <c r="D226" s="140"/>
      <c r="E226" s="144">
        <f>D224+D225</f>
        <v>116620</v>
      </c>
    </row>
    <row r="227" spans="1:8" ht="15.75" thickBot="1" x14ac:dyDescent="0.3">
      <c r="B227" s="147"/>
      <c r="C227" s="147" t="s">
        <v>295</v>
      </c>
      <c r="D227" s="137">
        <f>D224+D225</f>
        <v>116620</v>
      </c>
      <c r="E227" s="137">
        <f>E226</f>
        <v>116620</v>
      </c>
    </row>
    <row r="228" spans="1:8" ht="15.75" thickBot="1" x14ac:dyDescent="0.3">
      <c r="B228" s="136" t="s">
        <v>349</v>
      </c>
      <c r="C228" s="134"/>
      <c r="D228" s="134"/>
      <c r="E228" s="134"/>
    </row>
    <row r="229" spans="1:8" ht="15.75" thickBot="1" x14ac:dyDescent="0.3"/>
    <row r="230" spans="1:8" ht="15.75" thickBot="1" x14ac:dyDescent="0.3">
      <c r="B230" s="139" t="s">
        <v>559</v>
      </c>
      <c r="C230" s="140" t="s">
        <v>288</v>
      </c>
      <c r="D230" s="140" t="s">
        <v>560</v>
      </c>
      <c r="E230" s="140" t="s">
        <v>561</v>
      </c>
    </row>
    <row r="231" spans="1:8" ht="15.75" thickBot="1" x14ac:dyDescent="0.3">
      <c r="A231" s="141">
        <v>45515</v>
      </c>
      <c r="B231" s="151">
        <v>140505</v>
      </c>
      <c r="C231" s="140" t="s">
        <v>324</v>
      </c>
      <c r="D231" s="153">
        <f>J80*2</f>
        <v>100800</v>
      </c>
      <c r="E231" s="154"/>
      <c r="G231">
        <v>2934000</v>
      </c>
    </row>
    <row r="232" spans="1:8" ht="15.75" thickBot="1" x14ac:dyDescent="0.3">
      <c r="B232" s="142">
        <v>240401</v>
      </c>
      <c r="C232" s="140" t="s">
        <v>317</v>
      </c>
      <c r="D232" s="144">
        <f>K80*2</f>
        <v>19152</v>
      </c>
      <c r="E232" s="140"/>
    </row>
    <row r="233" spans="1:8" ht="15.75" thickBot="1" x14ac:dyDescent="0.3">
      <c r="B233" s="142">
        <v>221101</v>
      </c>
      <c r="C233" s="140" t="s">
        <v>319</v>
      </c>
      <c r="D233" s="140"/>
      <c r="E233" s="144">
        <f>D231+D232</f>
        <v>119952</v>
      </c>
    </row>
    <row r="234" spans="1:8" ht="15.75" thickBot="1" x14ac:dyDescent="0.3">
      <c r="B234" s="147"/>
      <c r="C234" s="147" t="s">
        <v>295</v>
      </c>
      <c r="D234" s="137">
        <f>D231+D232</f>
        <v>119952</v>
      </c>
      <c r="E234" s="137">
        <f>E233</f>
        <v>119952</v>
      </c>
    </row>
    <row r="235" spans="1:8" ht="15.75" thickBot="1" x14ac:dyDescent="0.3">
      <c r="B235" s="136" t="s">
        <v>325</v>
      </c>
      <c r="C235" s="134"/>
      <c r="D235" s="134"/>
      <c r="E235" s="134"/>
    </row>
    <row r="236" spans="1:8" ht="15.75" thickBot="1" x14ac:dyDescent="0.3"/>
    <row r="237" spans="1:8" ht="15.75" thickBot="1" x14ac:dyDescent="0.3">
      <c r="B237" s="139" t="s">
        <v>559</v>
      </c>
      <c r="C237" s="140" t="s">
        <v>288</v>
      </c>
      <c r="D237" s="140" t="s">
        <v>560</v>
      </c>
      <c r="E237" s="140" t="s">
        <v>561</v>
      </c>
    </row>
    <row r="238" spans="1:8" ht="15.75" thickBot="1" x14ac:dyDescent="0.3">
      <c r="A238" s="141">
        <v>45515</v>
      </c>
      <c r="B238" s="151">
        <v>140506</v>
      </c>
      <c r="C238" s="154" t="s">
        <v>329</v>
      </c>
      <c r="D238" s="153">
        <f>J81</f>
        <v>46000</v>
      </c>
      <c r="E238" s="154"/>
      <c r="F238">
        <f>5800*3</f>
        <v>17400</v>
      </c>
    </row>
    <row r="239" spans="1:8" ht="15.75" thickBot="1" x14ac:dyDescent="0.3">
      <c r="B239" s="142">
        <v>240401</v>
      </c>
      <c r="C239" s="140" t="s">
        <v>309</v>
      </c>
      <c r="D239" s="144">
        <f>K81</f>
        <v>4600</v>
      </c>
      <c r="E239" s="140"/>
      <c r="H239" s="163"/>
    </row>
    <row r="240" spans="1:8" ht="15.75" thickBot="1" x14ac:dyDescent="0.3">
      <c r="B240" s="142">
        <v>221101</v>
      </c>
      <c r="C240" s="140" t="s">
        <v>319</v>
      </c>
      <c r="D240" s="140"/>
      <c r="E240" s="144">
        <f>D238+D239</f>
        <v>50600</v>
      </c>
    </row>
    <row r="241" spans="1:5" ht="15.75" thickBot="1" x14ac:dyDescent="0.3">
      <c r="B241" s="147"/>
      <c r="C241" s="147" t="s">
        <v>295</v>
      </c>
      <c r="D241" s="137">
        <f>D238+D239</f>
        <v>50600</v>
      </c>
      <c r="E241" s="137">
        <f>E240</f>
        <v>50600</v>
      </c>
    </row>
    <row r="242" spans="1:5" ht="15.75" thickBot="1" x14ac:dyDescent="0.3">
      <c r="B242" s="136" t="s">
        <v>350</v>
      </c>
      <c r="C242" s="134"/>
      <c r="D242" s="134"/>
      <c r="E242" s="134"/>
    </row>
    <row r="243" spans="1:5" ht="15.75" thickBot="1" x14ac:dyDescent="0.3"/>
    <row r="244" spans="1:5" ht="15.75" thickBot="1" x14ac:dyDescent="0.3">
      <c r="B244" s="139" t="s">
        <v>559</v>
      </c>
      <c r="C244" s="140" t="s">
        <v>288</v>
      </c>
      <c r="D244" s="140" t="s">
        <v>560</v>
      </c>
      <c r="E244" s="140" t="s">
        <v>561</v>
      </c>
    </row>
    <row r="245" spans="1:5" ht="15.75" thickBot="1" x14ac:dyDescent="0.3">
      <c r="A245" s="141">
        <v>45515</v>
      </c>
      <c r="B245" s="151">
        <v>140506</v>
      </c>
      <c r="C245" s="154" t="s">
        <v>329</v>
      </c>
      <c r="D245" s="153">
        <f>J82</f>
        <v>182000</v>
      </c>
      <c r="E245" s="154"/>
    </row>
    <row r="246" spans="1:5" ht="15.75" thickBot="1" x14ac:dyDescent="0.3">
      <c r="B246" s="142">
        <v>240401</v>
      </c>
      <c r="C246" s="140" t="s">
        <v>309</v>
      </c>
      <c r="D246" s="144">
        <f>K82</f>
        <v>9100</v>
      </c>
      <c r="E246" s="140"/>
    </row>
    <row r="247" spans="1:5" ht="15.75" thickBot="1" x14ac:dyDescent="0.3">
      <c r="B247" s="142">
        <v>221101</v>
      </c>
      <c r="C247" s="140" t="s">
        <v>319</v>
      </c>
      <c r="D247" s="140"/>
      <c r="E247" s="144">
        <f>D245+D246</f>
        <v>191100</v>
      </c>
    </row>
    <row r="248" spans="1:5" ht="15.75" thickBot="1" x14ac:dyDescent="0.3">
      <c r="B248" s="147"/>
      <c r="C248" s="147" t="s">
        <v>295</v>
      </c>
      <c r="D248" s="137">
        <f>D245+D246</f>
        <v>191100</v>
      </c>
      <c r="E248" s="137">
        <f>E247</f>
        <v>191100</v>
      </c>
    </row>
    <row r="249" spans="1:5" ht="15.75" thickBot="1" x14ac:dyDescent="0.3">
      <c r="B249" s="136" t="s">
        <v>330</v>
      </c>
      <c r="C249" s="134"/>
      <c r="D249" s="134"/>
      <c r="E249" s="134"/>
    </row>
    <row r="250" spans="1:5" ht="15.75" thickBot="1" x14ac:dyDescent="0.3"/>
    <row r="251" spans="1:5" ht="15.75" thickBot="1" x14ac:dyDescent="0.3">
      <c r="B251" s="139" t="s">
        <v>559</v>
      </c>
      <c r="C251" s="140" t="s">
        <v>288</v>
      </c>
      <c r="D251" s="140" t="s">
        <v>560</v>
      </c>
      <c r="E251" s="140" t="s">
        <v>561</v>
      </c>
    </row>
    <row r="252" spans="1:5" ht="15.75" thickBot="1" x14ac:dyDescent="0.3">
      <c r="A252" s="141">
        <v>45519</v>
      </c>
      <c r="B252" s="151">
        <v>512005</v>
      </c>
      <c r="C252" s="154" t="s">
        <v>160</v>
      </c>
      <c r="D252" s="153"/>
      <c r="E252" s="161">
        <v>500000</v>
      </c>
    </row>
    <row r="253" spans="1:5" ht="15.75" thickBot="1" x14ac:dyDescent="0.3">
      <c r="B253" s="142">
        <v>221103</v>
      </c>
      <c r="C253" s="140" t="s">
        <v>338</v>
      </c>
      <c r="D253" s="144">
        <v>500000</v>
      </c>
      <c r="E253" s="140"/>
    </row>
    <row r="254" spans="1:5" ht="15.75" thickBot="1" x14ac:dyDescent="0.3">
      <c r="C254" s="147" t="s">
        <v>295</v>
      </c>
      <c r="D254" s="137">
        <f>D253</f>
        <v>500000</v>
      </c>
      <c r="E254" s="137">
        <f>E252</f>
        <v>500000</v>
      </c>
    </row>
    <row r="255" spans="1:5" ht="15.75" thickBot="1" x14ac:dyDescent="0.3">
      <c r="B255" s="136" t="s">
        <v>351</v>
      </c>
    </row>
    <row r="257" spans="1:5" ht="15.75" thickBot="1" x14ac:dyDescent="0.3"/>
    <row r="258" spans="1:5" ht="15.75" thickBot="1" x14ac:dyDescent="0.3">
      <c r="B258" s="139" t="s">
        <v>559</v>
      </c>
      <c r="C258" s="140" t="s">
        <v>288</v>
      </c>
      <c r="D258" s="140" t="s">
        <v>560</v>
      </c>
      <c r="E258" s="140" t="s">
        <v>561</v>
      </c>
    </row>
    <row r="259" spans="1:5" ht="30.75" thickBot="1" x14ac:dyDescent="0.3">
      <c r="A259" s="141">
        <v>45519</v>
      </c>
      <c r="B259" s="151">
        <v>140504</v>
      </c>
      <c r="C259" s="154" t="s">
        <v>340</v>
      </c>
      <c r="D259" s="153">
        <v>84000</v>
      </c>
      <c r="E259" s="154"/>
    </row>
    <row r="260" spans="1:5" ht="15.75" thickBot="1" x14ac:dyDescent="0.3">
      <c r="B260" s="142">
        <v>221105</v>
      </c>
      <c r="C260" s="140" t="s">
        <v>341</v>
      </c>
      <c r="D260" s="140"/>
      <c r="E260" s="144">
        <f>D259</f>
        <v>84000</v>
      </c>
    </row>
    <row r="261" spans="1:5" ht="15.75" thickBot="1" x14ac:dyDescent="0.3">
      <c r="B261" s="147"/>
      <c r="C261" s="147" t="s">
        <v>295</v>
      </c>
      <c r="D261" s="137">
        <f>D259</f>
        <v>84000</v>
      </c>
      <c r="E261" s="137">
        <f>E260</f>
        <v>84000</v>
      </c>
    </row>
    <row r="262" spans="1:5" ht="15.75" thickBot="1" x14ac:dyDescent="0.3">
      <c r="B262" s="136" t="s">
        <v>342</v>
      </c>
      <c r="C262" s="134"/>
      <c r="D262" s="134"/>
      <c r="E262" s="134"/>
    </row>
    <row r="263" spans="1:5" ht="15.75" thickBot="1" x14ac:dyDescent="0.3"/>
    <row r="264" spans="1:5" ht="15.75" thickBot="1" x14ac:dyDescent="0.3">
      <c r="B264" s="139" t="s">
        <v>559</v>
      </c>
      <c r="C264" s="140" t="s">
        <v>288</v>
      </c>
      <c r="D264" s="140" t="s">
        <v>560</v>
      </c>
      <c r="E264" s="140" t="s">
        <v>561</v>
      </c>
    </row>
    <row r="265" spans="1:5" ht="15.75" thickBot="1" x14ac:dyDescent="0.3">
      <c r="A265" s="141">
        <v>45519</v>
      </c>
      <c r="B265" s="142">
        <v>140501</v>
      </c>
      <c r="C265" s="140" t="s">
        <v>308</v>
      </c>
      <c r="D265" s="144">
        <f>G231</f>
        <v>2934000</v>
      </c>
      <c r="E265" s="140"/>
    </row>
    <row r="266" spans="1:5" ht="15.75" thickBot="1" x14ac:dyDescent="0.3">
      <c r="B266" s="142">
        <v>240402</v>
      </c>
      <c r="C266" s="140" t="s">
        <v>312</v>
      </c>
      <c r="D266" s="144">
        <f>D265*19%</f>
        <v>557460</v>
      </c>
      <c r="E266" s="140"/>
    </row>
    <row r="267" spans="1:5" ht="15.75" thickBot="1" x14ac:dyDescent="0.3">
      <c r="B267" s="142">
        <v>221101</v>
      </c>
      <c r="C267" s="140" t="s">
        <v>293</v>
      </c>
      <c r="D267" s="140"/>
      <c r="E267" s="144">
        <f>D265+D266</f>
        <v>3491460</v>
      </c>
    </row>
    <row r="268" spans="1:5" ht="15.75" thickBot="1" x14ac:dyDescent="0.3">
      <c r="B268" s="147"/>
      <c r="C268" s="147" t="s">
        <v>295</v>
      </c>
      <c r="D268" s="137">
        <f>D266+D265</f>
        <v>3491460</v>
      </c>
      <c r="E268" s="137">
        <f>E267</f>
        <v>3491460</v>
      </c>
    </row>
    <row r="269" spans="1:5" ht="15.75" thickBot="1" x14ac:dyDescent="0.3">
      <c r="B269" s="136" t="s">
        <v>352</v>
      </c>
      <c r="C269" s="134"/>
      <c r="D269" s="134"/>
      <c r="E269" s="134"/>
    </row>
    <row r="270" spans="1:5" ht="15.75" thickBot="1" x14ac:dyDescent="0.3"/>
    <row r="271" spans="1:5" ht="15.75" thickBot="1" x14ac:dyDescent="0.3">
      <c r="B271" s="139" t="s">
        <v>559</v>
      </c>
      <c r="C271" s="140" t="s">
        <v>288</v>
      </c>
      <c r="D271" s="140" t="s">
        <v>560</v>
      </c>
      <c r="E271" s="140" t="s">
        <v>561</v>
      </c>
    </row>
    <row r="272" spans="1:5" ht="15.75" thickBot="1" x14ac:dyDescent="0.3">
      <c r="A272" s="141">
        <v>45519</v>
      </c>
      <c r="B272" s="142">
        <v>140502</v>
      </c>
      <c r="C272" s="140" t="s">
        <v>311</v>
      </c>
      <c r="D272" s="144">
        <f>F238</f>
        <v>17400</v>
      </c>
      <c r="E272" s="140"/>
    </row>
    <row r="273" spans="1:5" ht="15.75" thickBot="1" x14ac:dyDescent="0.3">
      <c r="B273" s="142">
        <v>240402</v>
      </c>
      <c r="C273" s="140" t="s">
        <v>312</v>
      </c>
      <c r="D273" s="144">
        <f>D272*9%</f>
        <v>1566</v>
      </c>
      <c r="E273" s="140"/>
    </row>
    <row r="274" spans="1:5" ht="15.75" thickBot="1" x14ac:dyDescent="0.3">
      <c r="B274" s="142">
        <v>221101</v>
      </c>
      <c r="C274" s="140" t="s">
        <v>313</v>
      </c>
      <c r="D274" s="140"/>
      <c r="E274" s="144">
        <f>D272+D273</f>
        <v>18966</v>
      </c>
    </row>
    <row r="275" spans="1:5" ht="15.75" thickBot="1" x14ac:dyDescent="0.3">
      <c r="B275" s="147"/>
      <c r="C275" s="147" t="s">
        <v>295</v>
      </c>
      <c r="D275" s="137">
        <f>D273+D272</f>
        <v>18966</v>
      </c>
      <c r="E275" s="137">
        <f>E274</f>
        <v>18966</v>
      </c>
    </row>
    <row r="276" spans="1:5" ht="15.75" thickBot="1" x14ac:dyDescent="0.3">
      <c r="B276" s="136" t="s">
        <v>353</v>
      </c>
      <c r="C276" s="134"/>
      <c r="D276" s="134"/>
      <c r="E276" s="134"/>
    </row>
    <row r="277" spans="1:5" ht="15.75" thickBot="1" x14ac:dyDescent="0.3"/>
    <row r="278" spans="1:5" ht="15.75" thickBot="1" x14ac:dyDescent="0.3">
      <c r="A278" s="119"/>
      <c r="B278" s="139" t="s">
        <v>559</v>
      </c>
      <c r="C278" s="140" t="s">
        <v>288</v>
      </c>
      <c r="D278" s="140" t="s">
        <v>560</v>
      </c>
      <c r="E278" s="140" t="s">
        <v>561</v>
      </c>
    </row>
    <row r="279" spans="1:5" ht="30.75" thickBot="1" x14ac:dyDescent="0.3">
      <c r="A279" s="141">
        <v>45524</v>
      </c>
      <c r="B279" s="151">
        <v>610719</v>
      </c>
      <c r="C279" s="151" t="s">
        <v>343</v>
      </c>
      <c r="D279" s="153">
        <v>1200000</v>
      </c>
      <c r="E279" s="153"/>
    </row>
    <row r="280" spans="1:5" ht="15.75" thickBot="1" x14ac:dyDescent="0.3">
      <c r="A280" s="141"/>
      <c r="B280" s="151">
        <v>413195</v>
      </c>
      <c r="C280" s="151" t="s">
        <v>186</v>
      </c>
      <c r="D280" s="153"/>
      <c r="E280" s="153">
        <f>+D279</f>
        <v>1200000</v>
      </c>
    </row>
    <row r="281" spans="1:5" x14ac:dyDescent="0.25">
      <c r="A281" s="162"/>
      <c r="B281" s="516" t="s">
        <v>344</v>
      </c>
      <c r="C281" s="517"/>
      <c r="D281" s="517"/>
      <c r="E281" s="162"/>
    </row>
    <row r="282" spans="1:5" ht="15.75" thickBot="1" x14ac:dyDescent="0.3">
      <c r="A282" s="162"/>
      <c r="B282" s="162"/>
      <c r="C282" s="162"/>
      <c r="D282" s="162"/>
      <c r="E282" s="162"/>
    </row>
    <row r="283" spans="1:5" ht="15.75" thickBot="1" x14ac:dyDescent="0.3">
      <c r="A283" s="119"/>
      <c r="B283" s="139" t="s">
        <v>559</v>
      </c>
      <c r="C283" s="140" t="s">
        <v>288</v>
      </c>
      <c r="D283" s="140" t="s">
        <v>560</v>
      </c>
      <c r="E283" s="140" t="s">
        <v>561</v>
      </c>
    </row>
    <row r="284" spans="1:5" ht="30.75" thickBot="1" x14ac:dyDescent="0.3">
      <c r="A284" s="141">
        <v>45525</v>
      </c>
      <c r="B284" s="151">
        <v>610719</v>
      </c>
      <c r="C284" s="151" t="s">
        <v>343</v>
      </c>
      <c r="D284" s="153">
        <v>600000</v>
      </c>
      <c r="E284" s="153"/>
    </row>
    <row r="285" spans="1:5" ht="15.75" thickBot="1" x14ac:dyDescent="0.3">
      <c r="A285" s="141"/>
      <c r="B285" s="151">
        <v>413196</v>
      </c>
      <c r="C285" s="151" t="s">
        <v>76</v>
      </c>
      <c r="D285" s="153"/>
      <c r="E285" s="153">
        <f>+D284</f>
        <v>600000</v>
      </c>
    </row>
    <row r="286" spans="1:5" x14ac:dyDescent="0.25">
      <c r="A286" s="162"/>
      <c r="B286" s="516" t="s">
        <v>345</v>
      </c>
      <c r="C286" s="517"/>
      <c r="D286" s="517"/>
      <c r="E286" s="162"/>
    </row>
    <row r="287" spans="1:5" ht="15.75" thickBot="1" x14ac:dyDescent="0.3">
      <c r="B287" s="148"/>
      <c r="C287" s="149"/>
      <c r="D287" s="149"/>
      <c r="E287" s="149"/>
    </row>
    <row r="288" spans="1:5" ht="15.75" thickBot="1" x14ac:dyDescent="0.3">
      <c r="A288" s="119"/>
      <c r="B288" s="139" t="s">
        <v>559</v>
      </c>
      <c r="C288" s="140" t="s">
        <v>288</v>
      </c>
      <c r="D288" s="140" t="s">
        <v>560</v>
      </c>
      <c r="E288" s="140" t="s">
        <v>561</v>
      </c>
    </row>
    <row r="289" spans="1:5" ht="30.75" thickBot="1" x14ac:dyDescent="0.3">
      <c r="A289" s="141">
        <v>45526</v>
      </c>
      <c r="B289" s="151">
        <v>61071</v>
      </c>
      <c r="C289" s="151" t="s">
        <v>343</v>
      </c>
      <c r="D289" s="153">
        <v>800000</v>
      </c>
      <c r="E289" s="153"/>
    </row>
    <row r="290" spans="1:5" ht="15.75" thickBot="1" x14ac:dyDescent="0.3">
      <c r="A290" s="141"/>
      <c r="B290" s="151">
        <v>413197</v>
      </c>
      <c r="C290" s="151" t="s">
        <v>80</v>
      </c>
      <c r="D290" s="153"/>
      <c r="E290" s="153">
        <f>+D289</f>
        <v>800000</v>
      </c>
    </row>
    <row r="291" spans="1:5" x14ac:dyDescent="0.25">
      <c r="A291" s="162"/>
      <c r="B291" s="516" t="s">
        <v>346</v>
      </c>
      <c r="C291" s="517"/>
      <c r="D291" s="517"/>
      <c r="E291" s="162"/>
    </row>
    <row r="292" spans="1:5" x14ac:dyDescent="0.25">
      <c r="B292" s="148"/>
      <c r="C292" s="149"/>
      <c r="D292" s="149"/>
      <c r="E292" s="149"/>
    </row>
    <row r="293" spans="1:5" ht="15.75" thickBot="1" x14ac:dyDescent="0.3">
      <c r="B293" s="148"/>
      <c r="C293" s="149"/>
      <c r="D293" s="149"/>
      <c r="E293" s="149"/>
    </row>
    <row r="294" spans="1:5" ht="15.75" thickBot="1" x14ac:dyDescent="0.3">
      <c r="A294" s="119"/>
      <c r="B294" s="139" t="s">
        <v>559</v>
      </c>
      <c r="C294" s="140" t="s">
        <v>288</v>
      </c>
      <c r="D294" s="140" t="s">
        <v>560</v>
      </c>
      <c r="E294" s="140" t="s">
        <v>561</v>
      </c>
    </row>
    <row r="295" spans="1:5" ht="30.75" thickBot="1" x14ac:dyDescent="0.3">
      <c r="A295" s="141">
        <v>45527</v>
      </c>
      <c r="B295" s="151">
        <v>610719</v>
      </c>
      <c r="C295" s="151" t="s">
        <v>343</v>
      </c>
      <c r="D295" s="153">
        <v>675000</v>
      </c>
      <c r="E295" s="153"/>
    </row>
    <row r="296" spans="1:5" ht="15.75" thickBot="1" x14ac:dyDescent="0.3">
      <c r="A296" s="141"/>
      <c r="B296" s="151">
        <v>413198</v>
      </c>
      <c r="C296" s="151" t="s">
        <v>53</v>
      </c>
      <c r="D296" s="153"/>
      <c r="E296" s="153">
        <f>+D295</f>
        <v>675000</v>
      </c>
    </row>
    <row r="297" spans="1:5" x14ac:dyDescent="0.25">
      <c r="A297" s="162"/>
      <c r="B297" s="516" t="s">
        <v>347</v>
      </c>
      <c r="C297" s="517"/>
      <c r="D297" s="162"/>
      <c r="E297" s="162"/>
    </row>
    <row r="298" spans="1:5" x14ac:dyDescent="0.25">
      <c r="B298" s="148"/>
      <c r="C298" s="149"/>
      <c r="D298" s="149"/>
      <c r="E298" s="149"/>
    </row>
  </sheetData>
  <mergeCells count="8">
    <mergeCell ref="B291:D291"/>
    <mergeCell ref="B297:C297"/>
    <mergeCell ref="B133:D133"/>
    <mergeCell ref="B138:D138"/>
    <mergeCell ref="B143:D143"/>
    <mergeCell ref="B149:C149"/>
    <mergeCell ref="B281:D281"/>
    <mergeCell ref="B286:D28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B858E-310D-49D1-9A0A-91F6890D1880}">
  <dimension ref="B1:Y50"/>
  <sheetViews>
    <sheetView topLeftCell="E24" zoomScale="80" zoomScaleNormal="80" workbookViewId="0">
      <selection activeCell="J18" sqref="J18"/>
    </sheetView>
  </sheetViews>
  <sheetFormatPr baseColWidth="10" defaultRowHeight="15" x14ac:dyDescent="0.25"/>
  <cols>
    <col min="6" max="8" width="14.140625" customWidth="1"/>
    <col min="9" max="12" width="14.7109375" customWidth="1"/>
    <col min="13" max="13" width="17.85546875" customWidth="1"/>
    <col min="14" max="14" width="18.42578125" customWidth="1"/>
    <col min="15" max="15" width="14.7109375" customWidth="1"/>
    <col min="16" max="16" width="21.5703125" customWidth="1"/>
    <col min="17" max="19" width="15.140625" customWidth="1"/>
    <col min="20" max="21" width="18.140625" customWidth="1"/>
    <col min="22" max="22" width="16.140625" customWidth="1"/>
    <col min="23" max="24" width="18" customWidth="1"/>
  </cols>
  <sheetData>
    <row r="1" spans="2:25" x14ac:dyDescent="0.25">
      <c r="I1" s="518" t="s">
        <v>354</v>
      </c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  <c r="U1" s="518"/>
      <c r="V1" s="518"/>
      <c r="W1" s="518"/>
      <c r="X1" s="164"/>
    </row>
    <row r="2" spans="2:25" x14ac:dyDescent="0.25">
      <c r="B2" s="519" t="s">
        <v>355</v>
      </c>
      <c r="C2" s="519"/>
      <c r="D2" s="165" t="s">
        <v>356</v>
      </c>
      <c r="E2" s="54" t="s">
        <v>357</v>
      </c>
      <c r="F2" s="54" t="s">
        <v>358</v>
      </c>
      <c r="G2" s="54"/>
      <c r="H2" s="54"/>
      <c r="I2" s="54" t="s">
        <v>359</v>
      </c>
      <c r="J2" s="54" t="s">
        <v>360</v>
      </c>
      <c r="K2" s="54" t="s">
        <v>361</v>
      </c>
      <c r="L2" s="54"/>
      <c r="M2" s="54" t="s">
        <v>362</v>
      </c>
      <c r="N2" s="54" t="s">
        <v>363</v>
      </c>
      <c r="O2" s="54" t="s">
        <v>364</v>
      </c>
      <c r="P2" s="54" t="s">
        <v>365</v>
      </c>
      <c r="Q2" s="54" t="s">
        <v>366</v>
      </c>
      <c r="R2" s="54"/>
      <c r="S2" s="54"/>
      <c r="T2" s="54" t="s">
        <v>367</v>
      </c>
      <c r="U2" s="54"/>
      <c r="V2" s="54" t="s">
        <v>368</v>
      </c>
      <c r="W2" s="54" t="s">
        <v>369</v>
      </c>
      <c r="X2" s="54"/>
    </row>
    <row r="3" spans="2:25" x14ac:dyDescent="0.25">
      <c r="B3" t="s">
        <v>370</v>
      </c>
      <c r="C3" s="11">
        <v>260000</v>
      </c>
      <c r="D3" s="12">
        <f>C3/300</f>
        <v>866.66666666666663</v>
      </c>
      <c r="E3" s="12">
        <f>D3*4</f>
        <v>3466.6666666666665</v>
      </c>
      <c r="F3" s="12">
        <f>E3*300</f>
        <v>1040000</v>
      </c>
      <c r="G3" s="12">
        <f>E3+E6</f>
        <v>7200</v>
      </c>
      <c r="H3" s="12" t="s">
        <v>44</v>
      </c>
      <c r="I3" t="s">
        <v>83</v>
      </c>
      <c r="J3">
        <v>45</v>
      </c>
      <c r="K3">
        <v>25</v>
      </c>
      <c r="L3">
        <f>K3*4</f>
        <v>100</v>
      </c>
      <c r="M3">
        <f>J3*4</f>
        <v>180</v>
      </c>
      <c r="N3" s="12">
        <f>P3*M3</f>
        <v>352080</v>
      </c>
      <c r="O3" t="s">
        <v>371</v>
      </c>
      <c r="P3" s="11">
        <v>1956</v>
      </c>
      <c r="Q3" s="12">
        <f t="shared" ref="Q3:Q8" si="0">P3*J3</f>
        <v>88020</v>
      </c>
      <c r="R3" s="12">
        <f t="shared" ref="R3:R8" si="1">Q3*4</f>
        <v>352080</v>
      </c>
      <c r="S3" s="12">
        <f t="shared" ref="S3:S9" si="2">J3*4</f>
        <v>180</v>
      </c>
      <c r="T3" s="12">
        <f>P3*25</f>
        <v>48900</v>
      </c>
      <c r="U3" s="12">
        <f>T3*8</f>
        <v>391200</v>
      </c>
      <c r="V3" s="12">
        <f>P3*25</f>
        <v>48900</v>
      </c>
      <c r="W3" s="12">
        <f>P3*25</f>
        <v>48900</v>
      </c>
      <c r="X3" s="12">
        <f>W3*4</f>
        <v>195600</v>
      </c>
    </row>
    <row r="4" spans="2:25" x14ac:dyDescent="0.25">
      <c r="B4" t="s">
        <v>372</v>
      </c>
      <c r="C4" s="11">
        <v>120000</v>
      </c>
      <c r="D4" s="12">
        <f>C4/300</f>
        <v>400</v>
      </c>
      <c r="E4" s="12">
        <f>D4*4</f>
        <v>1600</v>
      </c>
      <c r="F4" s="12">
        <f>E4*300</f>
        <v>480000</v>
      </c>
      <c r="G4" s="12">
        <f>E4+E5</f>
        <v>3600</v>
      </c>
      <c r="H4" s="12" t="s">
        <v>47</v>
      </c>
      <c r="I4" t="s">
        <v>87</v>
      </c>
      <c r="J4">
        <v>10</v>
      </c>
      <c r="M4">
        <f t="shared" ref="M4:M8" si="3">J4*4</f>
        <v>40</v>
      </c>
      <c r="N4" s="12">
        <f t="shared" ref="N4:N8" si="4">P4*M4</f>
        <v>74000</v>
      </c>
      <c r="O4" t="s">
        <v>371</v>
      </c>
      <c r="P4" s="11">
        <v>1850</v>
      </c>
      <c r="Q4" s="12">
        <f t="shared" si="0"/>
        <v>18500</v>
      </c>
      <c r="R4" s="12">
        <f t="shared" si="1"/>
        <v>74000</v>
      </c>
      <c r="S4" s="12">
        <f t="shared" si="2"/>
        <v>40</v>
      </c>
    </row>
    <row r="5" spans="2:25" x14ac:dyDescent="0.25">
      <c r="B5" t="s">
        <v>373</v>
      </c>
      <c r="C5" s="11">
        <v>150000</v>
      </c>
      <c r="D5" s="12">
        <f>C5/300</f>
        <v>500</v>
      </c>
      <c r="E5" s="12">
        <f>D5*4</f>
        <v>2000</v>
      </c>
      <c r="F5" s="12">
        <f>E5*300</f>
        <v>600000</v>
      </c>
      <c r="G5" s="12">
        <f>E4</f>
        <v>1600</v>
      </c>
      <c r="H5" s="12" t="s">
        <v>50</v>
      </c>
      <c r="I5" t="s">
        <v>374</v>
      </c>
      <c r="J5">
        <v>1</v>
      </c>
      <c r="M5">
        <f t="shared" si="3"/>
        <v>4</v>
      </c>
      <c r="N5" s="12">
        <f t="shared" si="4"/>
        <v>23200</v>
      </c>
      <c r="O5" t="s">
        <v>371</v>
      </c>
      <c r="P5" s="11">
        <v>5800</v>
      </c>
      <c r="Q5" s="12">
        <f t="shared" si="0"/>
        <v>5800</v>
      </c>
      <c r="R5" s="12">
        <f t="shared" si="1"/>
        <v>23200</v>
      </c>
      <c r="S5" s="12">
        <f t="shared" si="2"/>
        <v>4</v>
      </c>
    </row>
    <row r="6" spans="2:25" x14ac:dyDescent="0.25">
      <c r="B6" t="s">
        <v>375</v>
      </c>
      <c r="C6" s="11">
        <v>280000</v>
      </c>
      <c r="D6" s="12">
        <f>C6/300</f>
        <v>933.33333333333337</v>
      </c>
      <c r="E6" s="12">
        <f>D6*4</f>
        <v>3733.3333333333335</v>
      </c>
      <c r="F6" s="12">
        <f>E6*300</f>
        <v>1120000</v>
      </c>
      <c r="G6" s="12">
        <v>100</v>
      </c>
      <c r="H6" s="12" t="s">
        <v>53</v>
      </c>
      <c r="I6" t="s">
        <v>376</v>
      </c>
      <c r="J6">
        <v>2</v>
      </c>
      <c r="K6">
        <v>1</v>
      </c>
      <c r="L6">
        <f>K6*4</f>
        <v>4</v>
      </c>
      <c r="M6">
        <f t="shared" si="3"/>
        <v>8</v>
      </c>
      <c r="N6" s="12">
        <f t="shared" si="4"/>
        <v>16000</v>
      </c>
      <c r="O6" t="s">
        <v>377</v>
      </c>
      <c r="P6" s="11">
        <v>2000</v>
      </c>
      <c r="Q6" s="12">
        <f t="shared" si="0"/>
        <v>4000</v>
      </c>
      <c r="R6" s="12">
        <f t="shared" si="1"/>
        <v>16000</v>
      </c>
      <c r="S6" s="12">
        <f t="shared" si="2"/>
        <v>8</v>
      </c>
      <c r="T6" s="12">
        <f>P6*1</f>
        <v>2000</v>
      </c>
      <c r="U6" s="12">
        <f>T6*8</f>
        <v>16000</v>
      </c>
      <c r="V6" s="12">
        <f>P6*1</f>
        <v>2000</v>
      </c>
      <c r="W6" s="12">
        <f>T6*1</f>
        <v>2000</v>
      </c>
      <c r="X6" s="12">
        <f>W6*4</f>
        <v>8000</v>
      </c>
    </row>
    <row r="7" spans="2:25" x14ac:dyDescent="0.25">
      <c r="E7" s="12">
        <f>E3+E4+E5+E6</f>
        <v>10800</v>
      </c>
      <c r="G7" s="12">
        <f>SUM(G3:G6)</f>
        <v>12500</v>
      </c>
      <c r="I7" t="s">
        <v>650</v>
      </c>
      <c r="J7">
        <v>2</v>
      </c>
      <c r="K7">
        <v>1</v>
      </c>
      <c r="L7">
        <f>K7*4</f>
        <v>4</v>
      </c>
      <c r="M7">
        <f t="shared" si="3"/>
        <v>8</v>
      </c>
      <c r="N7" s="12">
        <f t="shared" si="4"/>
        <v>26133.333333333332</v>
      </c>
      <c r="O7" t="s">
        <v>377</v>
      </c>
      <c r="P7" s="11">
        <v>3266.6666666666665</v>
      </c>
      <c r="Q7" s="12">
        <f t="shared" si="0"/>
        <v>6533.333333333333</v>
      </c>
      <c r="R7" s="12">
        <f t="shared" si="1"/>
        <v>26133.333333333332</v>
      </c>
      <c r="S7" s="12">
        <f t="shared" si="2"/>
        <v>8</v>
      </c>
      <c r="T7" s="12">
        <f>P7*1</f>
        <v>3266.6666666666665</v>
      </c>
      <c r="U7" s="12">
        <f>T7*4</f>
        <v>13066.666666666666</v>
      </c>
      <c r="V7" s="12">
        <f>P7*1</f>
        <v>3266.6666666666665</v>
      </c>
      <c r="W7" s="12">
        <f>P7*1</f>
        <v>3266.6666666666665</v>
      </c>
      <c r="X7" s="12">
        <f>W7*4</f>
        <v>13066.666666666666</v>
      </c>
    </row>
    <row r="8" spans="2:25" x14ac:dyDescent="0.25">
      <c r="E8" s="12">
        <f>D3+D6</f>
        <v>1800</v>
      </c>
      <c r="I8" t="s">
        <v>651</v>
      </c>
      <c r="J8">
        <v>2</v>
      </c>
      <c r="K8">
        <v>2</v>
      </c>
      <c r="L8">
        <f>K8*4</f>
        <v>8</v>
      </c>
      <c r="M8">
        <f t="shared" si="3"/>
        <v>8</v>
      </c>
      <c r="N8" s="12">
        <f t="shared" si="4"/>
        <v>80000</v>
      </c>
      <c r="O8" t="s">
        <v>526</v>
      </c>
      <c r="P8" s="11">
        <v>10000</v>
      </c>
      <c r="Q8" s="12">
        <f t="shared" si="0"/>
        <v>20000</v>
      </c>
      <c r="R8" s="12">
        <f t="shared" si="1"/>
        <v>80000</v>
      </c>
      <c r="S8" s="12">
        <f t="shared" si="2"/>
        <v>8</v>
      </c>
      <c r="T8" s="12">
        <f>P8*2</f>
        <v>20000</v>
      </c>
      <c r="U8" s="12">
        <f>T8*8</f>
        <v>160000</v>
      </c>
      <c r="V8" s="12">
        <f>P8*2</f>
        <v>20000</v>
      </c>
      <c r="W8" s="12">
        <f>P8*2</f>
        <v>20000</v>
      </c>
      <c r="X8" s="12">
        <f>W8*4</f>
        <v>80000</v>
      </c>
    </row>
    <row r="9" spans="2:25" x14ac:dyDescent="0.25">
      <c r="I9" t="s">
        <v>91</v>
      </c>
      <c r="J9">
        <v>1</v>
      </c>
      <c r="K9">
        <v>0.5</v>
      </c>
      <c r="L9">
        <f>K9*4</f>
        <v>2</v>
      </c>
      <c r="M9">
        <f>J9*4</f>
        <v>4</v>
      </c>
      <c r="N9" s="12">
        <f>P9*M9</f>
        <v>4064</v>
      </c>
      <c r="O9" t="s">
        <v>371</v>
      </c>
      <c r="P9" s="11">
        <v>1016</v>
      </c>
      <c r="Q9" s="12"/>
      <c r="R9" s="12">
        <f>SUM(R3:R8)</f>
        <v>571413.33333333326</v>
      </c>
      <c r="S9" s="12">
        <f t="shared" si="2"/>
        <v>4</v>
      </c>
      <c r="T9" s="12">
        <f>P9*0.5</f>
        <v>508</v>
      </c>
      <c r="U9" s="12">
        <f>T9*8</f>
        <v>4064</v>
      </c>
      <c r="V9" s="12">
        <f>P9*0.5</f>
        <v>508</v>
      </c>
      <c r="W9" s="12">
        <f>P9*0.5</f>
        <v>508</v>
      </c>
      <c r="X9" s="12">
        <f>W9*4</f>
        <v>2032</v>
      </c>
    </row>
    <row r="10" spans="2:25" x14ac:dyDescent="0.25">
      <c r="L10" s="471" t="s">
        <v>379</v>
      </c>
      <c r="M10" s="471"/>
      <c r="N10" s="12"/>
      <c r="P10" s="11"/>
      <c r="Q10" s="12"/>
      <c r="R10" s="12"/>
      <c r="S10" s="12"/>
      <c r="T10" s="12"/>
      <c r="U10" s="12"/>
      <c r="V10" s="12"/>
      <c r="W10" s="12"/>
      <c r="X10" s="12">
        <f>SUM(X3:X9)</f>
        <v>298698.66666666663</v>
      </c>
    </row>
    <row r="11" spans="2:25" x14ac:dyDescent="0.25">
      <c r="K11" t="s">
        <v>83</v>
      </c>
      <c r="L11">
        <f>L3+M3</f>
        <v>280</v>
      </c>
      <c r="N11" s="12">
        <f>SUM(N3:N9)</f>
        <v>575477.33333333326</v>
      </c>
      <c r="Q11" s="166">
        <f>SUM(Q3:Q8)</f>
        <v>142853.33333333331</v>
      </c>
      <c r="R11" s="166"/>
      <c r="S11" s="166"/>
      <c r="T11" s="166">
        <f>SUM(T3:T9)</f>
        <v>74674.666666666657</v>
      </c>
      <c r="U11" s="166"/>
      <c r="V11" s="166">
        <f>SUM(V3:V9)</f>
        <v>74674.666666666657</v>
      </c>
      <c r="W11" s="166">
        <f>SUM(W3:W9)</f>
        <v>74674.666666666657</v>
      </c>
      <c r="X11" s="166"/>
      <c r="Y11" s="145" t="s">
        <v>380</v>
      </c>
    </row>
    <row r="12" spans="2:25" x14ac:dyDescent="0.25">
      <c r="K12" t="s">
        <v>87</v>
      </c>
      <c r="L12">
        <f t="shared" ref="L12:L17" si="5">M4</f>
        <v>40</v>
      </c>
      <c r="Q12" s="167">
        <f>Q11*4</f>
        <v>571413.33333333326</v>
      </c>
      <c r="R12" s="167"/>
      <c r="S12" s="167"/>
      <c r="T12" s="167">
        <f>T11*4</f>
        <v>298698.66666666663</v>
      </c>
      <c r="U12" s="167"/>
      <c r="V12" s="167">
        <f>V11*4</f>
        <v>298698.66666666663</v>
      </c>
      <c r="W12" s="167">
        <f>W11*4</f>
        <v>298698.66666666663</v>
      </c>
      <c r="X12" s="167"/>
      <c r="Y12" s="168" t="s">
        <v>381</v>
      </c>
    </row>
    <row r="13" spans="2:25" x14ac:dyDescent="0.25">
      <c r="F13" s="12"/>
      <c r="G13" s="12"/>
      <c r="H13" s="12"/>
      <c r="K13" t="s">
        <v>374</v>
      </c>
      <c r="L13">
        <f t="shared" si="5"/>
        <v>4</v>
      </c>
    </row>
    <row r="14" spans="2:25" x14ac:dyDescent="0.25">
      <c r="K14" t="s">
        <v>376</v>
      </c>
      <c r="L14">
        <f t="shared" si="5"/>
        <v>8</v>
      </c>
    </row>
    <row r="15" spans="2:25" x14ac:dyDescent="0.25">
      <c r="K15" t="s">
        <v>378</v>
      </c>
      <c r="L15">
        <f t="shared" si="5"/>
        <v>8</v>
      </c>
    </row>
    <row r="16" spans="2:25" x14ac:dyDescent="0.25">
      <c r="K16" t="s">
        <v>36</v>
      </c>
      <c r="L16">
        <f t="shared" si="5"/>
        <v>8</v>
      </c>
    </row>
    <row r="17" spans="2:23" x14ac:dyDescent="0.25">
      <c r="K17" t="s">
        <v>91</v>
      </c>
      <c r="L17">
        <f t="shared" si="5"/>
        <v>4</v>
      </c>
    </row>
    <row r="18" spans="2:23" x14ac:dyDescent="0.25">
      <c r="E18" s="12">
        <f>F3+F6</f>
        <v>2160000</v>
      </c>
      <c r="Q18">
        <v>45</v>
      </c>
      <c r="T18">
        <v>25</v>
      </c>
      <c r="V18">
        <f>Q18+T18</f>
        <v>70</v>
      </c>
    </row>
    <row r="20" spans="2:23" x14ac:dyDescent="0.25">
      <c r="H20" s="11">
        <v>1000000</v>
      </c>
      <c r="I20" s="12">
        <f>H20/45000</f>
        <v>22.222222222222221</v>
      </c>
      <c r="V20">
        <v>75</v>
      </c>
    </row>
    <row r="21" spans="2:23" x14ac:dyDescent="0.25">
      <c r="B21" s="519" t="s">
        <v>355</v>
      </c>
      <c r="C21" s="519"/>
      <c r="D21" s="165" t="s">
        <v>356</v>
      </c>
      <c r="E21" t="s">
        <v>357</v>
      </c>
      <c r="F21" t="s">
        <v>358</v>
      </c>
      <c r="V21">
        <v>45</v>
      </c>
    </row>
    <row r="22" spans="2:23" x14ac:dyDescent="0.25">
      <c r="B22" t="s">
        <v>370</v>
      </c>
      <c r="C22" s="11">
        <v>300000</v>
      </c>
      <c r="D22" s="12">
        <f>C22/300</f>
        <v>1000</v>
      </c>
      <c r="E22" s="12">
        <f>D22*4</f>
        <v>4000</v>
      </c>
      <c r="F22" s="12">
        <f>E22*300</f>
        <v>1200000</v>
      </c>
      <c r="G22" s="12"/>
      <c r="H22" s="12"/>
      <c r="V22">
        <f>V20+V21</f>
        <v>120</v>
      </c>
    </row>
    <row r="23" spans="2:23" x14ac:dyDescent="0.25">
      <c r="B23" t="s">
        <v>372</v>
      </c>
      <c r="C23" s="11">
        <v>150000</v>
      </c>
      <c r="D23" s="12">
        <f>C23/300</f>
        <v>500</v>
      </c>
      <c r="E23" s="12">
        <f t="shared" ref="E23:E26" si="6">D23*4</f>
        <v>2000</v>
      </c>
      <c r="F23" s="12">
        <f t="shared" ref="F23:F26" si="7">E23*300</f>
        <v>600000</v>
      </c>
      <c r="G23" s="12"/>
      <c r="H23" s="12"/>
      <c r="T23">
        <f>75+45</f>
        <v>120</v>
      </c>
    </row>
    <row r="24" spans="2:23" x14ac:dyDescent="0.25">
      <c r="B24" t="s">
        <v>373</v>
      </c>
      <c r="C24" s="11">
        <v>200000</v>
      </c>
      <c r="D24" s="12">
        <f>C24/300</f>
        <v>666.66666666666663</v>
      </c>
      <c r="E24" s="12">
        <f t="shared" si="6"/>
        <v>2666.6666666666665</v>
      </c>
      <c r="F24" s="12">
        <f t="shared" si="7"/>
        <v>800000</v>
      </c>
      <c r="G24" s="12"/>
      <c r="H24" s="12"/>
    </row>
    <row r="25" spans="2:23" x14ac:dyDescent="0.25">
      <c r="B25" t="s">
        <v>375</v>
      </c>
      <c r="C25" s="11">
        <v>320000</v>
      </c>
      <c r="D25" s="12">
        <f>C25/300</f>
        <v>1066.6666666666667</v>
      </c>
      <c r="E25" s="12">
        <f t="shared" si="6"/>
        <v>4266.666666666667</v>
      </c>
      <c r="F25" s="12">
        <f t="shared" si="7"/>
        <v>1280000</v>
      </c>
      <c r="G25" s="12"/>
      <c r="H25" s="12"/>
    </row>
    <row r="26" spans="2:23" x14ac:dyDescent="0.25">
      <c r="D26" s="12">
        <f>+D22+D23+D24+D25</f>
        <v>3233.333333333333</v>
      </c>
      <c r="E26" s="12">
        <f t="shared" si="6"/>
        <v>12933.333333333332</v>
      </c>
      <c r="F26" s="12">
        <f t="shared" si="7"/>
        <v>3879999.9999999995</v>
      </c>
      <c r="G26" s="12"/>
      <c r="H26" s="12"/>
    </row>
    <row r="28" spans="2:23" x14ac:dyDescent="0.25">
      <c r="F28" t="s">
        <v>53</v>
      </c>
    </row>
    <row r="29" spans="2:23" x14ac:dyDescent="0.25">
      <c r="E29">
        <v>15</v>
      </c>
      <c r="F29" s="12">
        <f>E29*45000</f>
        <v>675000</v>
      </c>
      <c r="G29" s="12"/>
      <c r="H29" s="12"/>
      <c r="W29">
        <v>25</v>
      </c>
    </row>
    <row r="31" spans="2:23" x14ac:dyDescent="0.25">
      <c r="C31" s="468" t="s">
        <v>382</v>
      </c>
      <c r="D31" s="468"/>
      <c r="E31" s="468"/>
      <c r="F31" s="468"/>
      <c r="G31" s="468"/>
      <c r="H31" s="468"/>
      <c r="I31" s="468"/>
      <c r="J31" s="468"/>
      <c r="K31" s="13"/>
      <c r="L31" s="13"/>
      <c r="M31" s="54"/>
      <c r="N31" s="54"/>
      <c r="W31">
        <v>27</v>
      </c>
    </row>
    <row r="32" spans="2:23" x14ac:dyDescent="0.25">
      <c r="W32">
        <f>W29/W31</f>
        <v>0.92592592592592593</v>
      </c>
    </row>
    <row r="33" spans="3:23" x14ac:dyDescent="0.25">
      <c r="C33" s="520" t="s">
        <v>383</v>
      </c>
      <c r="D33" s="520"/>
      <c r="E33" s="520"/>
      <c r="F33" s="169" t="s">
        <v>44</v>
      </c>
      <c r="G33" s="169" t="s">
        <v>47</v>
      </c>
      <c r="H33" s="169" t="s">
        <v>50</v>
      </c>
      <c r="I33" s="169" t="s">
        <v>53</v>
      </c>
      <c r="J33" s="169" t="s">
        <v>35</v>
      </c>
      <c r="K33" s="170"/>
      <c r="L33" s="170"/>
    </row>
    <row r="34" spans="3:23" x14ac:dyDescent="0.25">
      <c r="C34" s="505" t="s">
        <v>384</v>
      </c>
      <c r="D34" s="505"/>
      <c r="E34" s="505"/>
      <c r="F34" s="15">
        <f>G3</f>
        <v>7200</v>
      </c>
      <c r="G34" s="15">
        <v>3467</v>
      </c>
      <c r="H34" s="15">
        <v>2000</v>
      </c>
      <c r="I34" s="2">
        <v>100</v>
      </c>
      <c r="J34" s="15">
        <f>SUM(F34:I34)</f>
        <v>12767</v>
      </c>
      <c r="K34" s="12"/>
      <c r="L34" s="12"/>
    </row>
    <row r="35" spans="3:23" x14ac:dyDescent="0.25">
      <c r="C35" s="505" t="s">
        <v>66</v>
      </c>
      <c r="D35" s="505"/>
      <c r="E35" s="505"/>
      <c r="F35" s="24">
        <f>F34/J34</f>
        <v>0.56395394376125951</v>
      </c>
      <c r="G35" s="24">
        <f>G34/J34</f>
        <v>0.27155948930837315</v>
      </c>
      <c r="H35" s="24">
        <f>H34/J34</f>
        <v>0.15665387326701652</v>
      </c>
      <c r="I35" s="24">
        <f>I34/J34</f>
        <v>7.8326936633508256E-3</v>
      </c>
      <c r="J35" s="23">
        <f>SUM(F35:I35)</f>
        <v>1</v>
      </c>
      <c r="K35" s="8"/>
      <c r="L35" s="8"/>
    </row>
    <row r="36" spans="3:23" x14ac:dyDescent="0.25">
      <c r="C36" s="16"/>
      <c r="D36" s="16"/>
      <c r="E36" s="16"/>
      <c r="F36" s="24">
        <f>F35</f>
        <v>0.56395394376125951</v>
      </c>
      <c r="G36" s="24">
        <f>F36+G35</f>
        <v>0.83551343306963266</v>
      </c>
      <c r="H36" s="24">
        <f>G36+H35</f>
        <v>0.99216730633664918</v>
      </c>
      <c r="I36" s="24">
        <f>H36+I35</f>
        <v>1</v>
      </c>
      <c r="J36" s="23"/>
      <c r="K36" s="8"/>
      <c r="L36" s="8"/>
    </row>
    <row r="37" spans="3:23" x14ac:dyDescent="0.25">
      <c r="E37" s="16"/>
      <c r="F37" s="169" t="s">
        <v>44</v>
      </c>
      <c r="G37" s="169" t="s">
        <v>47</v>
      </c>
      <c r="H37" s="169" t="s">
        <v>50</v>
      </c>
      <c r="I37" s="169" t="s">
        <v>53</v>
      </c>
      <c r="J37" s="169" t="s">
        <v>35</v>
      </c>
      <c r="K37" s="170"/>
      <c r="L37" s="170"/>
      <c r="P37" s="34" t="s">
        <v>113</v>
      </c>
      <c r="Q37" s="14" t="s">
        <v>114</v>
      </c>
      <c r="R37" s="14"/>
      <c r="S37" s="14"/>
      <c r="T37" s="2" t="s">
        <v>115</v>
      </c>
      <c r="U37" s="2"/>
      <c r="V37" s="2" t="s">
        <v>116</v>
      </c>
      <c r="W37" s="2" t="s">
        <v>385</v>
      </c>
    </row>
    <row r="38" spans="3:23" x14ac:dyDescent="0.25">
      <c r="P38" s="34" t="s">
        <v>83</v>
      </c>
      <c r="Q38" s="171"/>
      <c r="R38" s="171"/>
      <c r="S38" s="171"/>
      <c r="T38" s="2"/>
      <c r="U38" s="2"/>
      <c r="V38" s="2"/>
      <c r="W38" s="2"/>
    </row>
    <row r="39" spans="3:23" x14ac:dyDescent="0.25">
      <c r="F39" t="str">
        <f>F37</f>
        <v xml:space="preserve">PAN ACEMAS </v>
      </c>
      <c r="G39" s="8">
        <f>F36</f>
        <v>0.56395394376125951</v>
      </c>
      <c r="P39" s="34" t="s">
        <v>87</v>
      </c>
      <c r="Q39" s="171"/>
      <c r="R39" s="171"/>
      <c r="S39" s="171"/>
      <c r="T39" s="2"/>
      <c r="U39" s="2"/>
      <c r="V39" s="2"/>
      <c r="W39" s="2"/>
    </row>
    <row r="40" spans="3:23" x14ac:dyDescent="0.25">
      <c r="F40" t="str">
        <f>G37</f>
        <v xml:space="preserve">PAN SAL </v>
      </c>
      <c r="G40" s="8">
        <f>G36</f>
        <v>0.83551343306963266</v>
      </c>
      <c r="P40" s="34" t="s">
        <v>91</v>
      </c>
      <c r="Q40" s="171"/>
      <c r="R40" s="171"/>
      <c r="S40" s="171"/>
      <c r="T40" s="2"/>
      <c r="U40" s="2"/>
      <c r="V40" s="2"/>
      <c r="W40" s="2"/>
    </row>
    <row r="41" spans="3:23" x14ac:dyDescent="0.25">
      <c r="F41" t="str">
        <f>H37</f>
        <v xml:space="preserve">PAN MOLLETE </v>
      </c>
      <c r="G41" s="8">
        <f>H36</f>
        <v>0.99216730633664918</v>
      </c>
      <c r="P41" s="34" t="s">
        <v>94</v>
      </c>
      <c r="Q41" s="171"/>
      <c r="R41" s="171"/>
      <c r="S41" s="171"/>
      <c r="T41" s="2"/>
      <c r="U41" s="2"/>
      <c r="V41" s="2"/>
      <c r="W41" s="2"/>
    </row>
    <row r="42" spans="3:23" x14ac:dyDescent="0.25">
      <c r="F42" t="str">
        <f>I37</f>
        <v>TORTAS</v>
      </c>
      <c r="G42" s="8">
        <f>I36</f>
        <v>1</v>
      </c>
      <c r="P42" s="34" t="s">
        <v>98</v>
      </c>
      <c r="Q42" s="2"/>
      <c r="R42" s="2"/>
      <c r="S42" s="2"/>
      <c r="T42" s="2"/>
      <c r="U42" s="2"/>
      <c r="V42" s="2"/>
      <c r="W42" s="2"/>
    </row>
    <row r="43" spans="3:23" x14ac:dyDescent="0.25">
      <c r="P43" s="34" t="s">
        <v>101</v>
      </c>
      <c r="Q43" s="2"/>
      <c r="R43" s="2"/>
      <c r="S43" s="2"/>
      <c r="T43" s="2"/>
      <c r="U43" s="2"/>
      <c r="V43" s="2"/>
      <c r="W43" s="2"/>
    </row>
    <row r="44" spans="3:23" x14ac:dyDescent="0.25">
      <c r="P44" s="34" t="s">
        <v>104</v>
      </c>
      <c r="Q44" s="2"/>
      <c r="R44" s="2"/>
      <c r="S44" s="2"/>
      <c r="T44" s="2"/>
      <c r="U44" s="2"/>
      <c r="V44" s="2"/>
      <c r="W44" s="2"/>
    </row>
    <row r="45" spans="3:23" x14ac:dyDescent="0.25">
      <c r="P45" s="35" t="s">
        <v>105</v>
      </c>
      <c r="Q45" s="2"/>
      <c r="R45" s="2"/>
      <c r="S45" s="2"/>
      <c r="T45" s="2"/>
      <c r="U45" s="2"/>
      <c r="V45" s="2"/>
      <c r="W45" s="2"/>
    </row>
    <row r="46" spans="3:23" x14ac:dyDescent="0.25">
      <c r="P46" s="35" t="s">
        <v>106</v>
      </c>
      <c r="Q46" s="2"/>
      <c r="R46" s="2"/>
      <c r="S46" s="2"/>
      <c r="T46" s="2"/>
      <c r="U46" s="2"/>
      <c r="V46" s="2"/>
      <c r="W46" s="2"/>
    </row>
    <row r="47" spans="3:23" ht="30" x14ac:dyDescent="0.25">
      <c r="P47" s="35" t="s">
        <v>108</v>
      </c>
      <c r="Q47" s="2"/>
      <c r="R47" s="2"/>
      <c r="S47" s="2"/>
      <c r="T47" s="2"/>
      <c r="U47" s="2"/>
      <c r="V47" s="2"/>
      <c r="W47" s="2"/>
    </row>
    <row r="48" spans="3:23" x14ac:dyDescent="0.25">
      <c r="P48" s="35" t="s">
        <v>110</v>
      </c>
      <c r="Q48" s="2"/>
      <c r="R48" s="2"/>
      <c r="S48" s="2"/>
      <c r="T48" s="2"/>
      <c r="U48" s="2"/>
      <c r="V48" s="2"/>
      <c r="W48" s="2"/>
    </row>
    <row r="49" spans="16:23" x14ac:dyDescent="0.25">
      <c r="P49" s="34" t="s">
        <v>112</v>
      </c>
      <c r="Q49" s="2"/>
      <c r="R49" s="2"/>
      <c r="S49" s="2"/>
      <c r="T49" s="2"/>
      <c r="U49" s="2"/>
      <c r="V49" s="2"/>
      <c r="W49" s="2"/>
    </row>
    <row r="50" spans="16:23" x14ac:dyDescent="0.25">
      <c r="P50" s="34" t="s">
        <v>36</v>
      </c>
      <c r="Q50" s="2"/>
      <c r="R50" s="2"/>
      <c r="S50" s="2"/>
      <c r="T50" s="2"/>
      <c r="U50" s="2"/>
      <c r="V50" s="2"/>
      <c r="W50" s="2"/>
    </row>
  </sheetData>
  <mergeCells count="8">
    <mergeCell ref="C34:E34"/>
    <mergeCell ref="C35:E35"/>
    <mergeCell ref="I1:W1"/>
    <mergeCell ref="B2:C2"/>
    <mergeCell ref="L10:M10"/>
    <mergeCell ref="B21:C21"/>
    <mergeCell ref="C31:J31"/>
    <mergeCell ref="C33:E3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TABLERO DE CONTROL </vt:lpstr>
      <vt:lpstr>ENCUESTAS </vt:lpstr>
      <vt:lpstr>COSTOS ABC PANADERÍA </vt:lpstr>
      <vt:lpstr>DISTRIBUCIÓN MATERIA PRIMA</vt:lpstr>
      <vt:lpstr>MATERIA PRIMA</vt:lpstr>
      <vt:lpstr>MAQUINARIA </vt:lpstr>
      <vt:lpstr>BALANCE DE COMPROBACIÓN</vt:lpstr>
      <vt:lpstr>CONTABILIZACIÓN</vt:lpstr>
      <vt:lpstr>INGRESOS </vt:lpstr>
      <vt:lpstr>DEPRECIACIÓN</vt:lpstr>
      <vt:lpstr>GASTOS</vt:lpstr>
      <vt:lpstr>COSTOS</vt:lpstr>
      <vt:lpstr>PUNTO DE EQUILIBRIO</vt:lpstr>
      <vt:lpstr>COSTOS DE PRODUCCIÓN</vt:lpstr>
      <vt:lpstr>GASTO ADMINISTRATIVO</vt:lpstr>
      <vt:lpstr>GASTO DE VENTA</vt:lpstr>
      <vt:lpstr>ESTADO DE COSTOS</vt:lpstr>
      <vt:lpstr>ESTADO DE RESULTADOS</vt:lpstr>
      <vt:lpstr>BALANCE GRAL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Salazar</dc:creator>
  <cp:lastModifiedBy>valeriapazfer@outlook.com</cp:lastModifiedBy>
  <dcterms:created xsi:type="dcterms:W3CDTF">2024-11-16T23:40:30Z</dcterms:created>
  <dcterms:modified xsi:type="dcterms:W3CDTF">2025-01-21T19:06:31Z</dcterms:modified>
</cp:coreProperties>
</file>